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1200" windowHeight="28800" tabRatio="665" activeTab="3"/>
  </bookViews>
  <sheets>
    <sheet name="2016年必ず購入する資料リスト" sheetId="1" r:id="rId1"/>
    <sheet name="雛形" sheetId="2" r:id="rId2"/>
    <sheet name="購入一覧" sheetId="3" r:id="rId3"/>
    <sheet name="使用方法" sheetId="4" r:id="rId4"/>
    <sheet name="新刊リスト" sheetId="5" r:id="rId5"/>
    <sheet name="請求書" sheetId="6" r:id="rId6"/>
    <sheet name="購入中叢書" sheetId="7" r:id="rId7"/>
  </sheets>
  <definedNames>
    <definedName name="_xlnm._FilterDatabase" localSheetId="3" hidden="1">'使用方法'!$A$1:$P$12</definedName>
    <definedName name="_xlnm._FilterDatabase" localSheetId="2" hidden="1">'購入一覧'!$A$1:$P$13</definedName>
    <definedName name="_xlnm.Print_Area" localSheetId="0">'2016年必ず購入する資料リスト'!$A$1:$H$43</definedName>
    <definedName name="_xlnm.Print_Area" localSheetId="3">'使用方法'!$A$15:$O$47</definedName>
    <definedName name="_xlnm.Print_Area" localSheetId="4">'新刊リスト'!$A$1:$D$69</definedName>
    <definedName name="_xlnm.Print_Area" localSheetId="5">'請求書'!#REF!</definedName>
    <definedName name="_xlnm.Print_Area" localSheetId="2">'購入一覧'!$A$15:$O$47</definedName>
    <definedName name="_xlnm.Print_Area" localSheetId="6">'購入中叢書'!$A$1:$D$55</definedName>
    <definedName name="_xlnm.Print_Area" localSheetId="1">'雛形'!$A$1:$H$29</definedName>
    <definedName name="_xlnm.Print_Titles" localSheetId="3">'使用方法'!$1:$1</definedName>
    <definedName name="_xlnm.Print_Titles" localSheetId="4">'新刊リスト'!$1:$2</definedName>
    <definedName name="_xlnm.Print_Titles" localSheetId="2">'購入一覧'!$1:$1</definedName>
  </definedNames>
  <calcPr fullCalcOnLoad="1"/>
</workbook>
</file>

<file path=xl/sharedStrings.xml><?xml version="1.0" encoding="utf-8"?>
<sst xmlns="http://schemas.openxmlformats.org/spreadsheetml/2006/main" count="812" uniqueCount="492">
  <si>
    <t>最新刊号数</t>
  </si>
  <si>
    <t>ランプの精リトル・ジーニー</t>
  </si>
  <si>
    <t>著者</t>
  </si>
  <si>
    <t>松原秀行</t>
  </si>
  <si>
    <t>若おかみは小学生！</t>
  </si>
  <si>
    <t>令丈ヒロ子</t>
  </si>
  <si>
    <t>西遊記</t>
  </si>
  <si>
    <t>都会のトム＆ソーヤ</t>
  </si>
  <si>
    <t>ギネス世界記録</t>
  </si>
  <si>
    <t>富安陽子</t>
  </si>
  <si>
    <t>理科年表</t>
  </si>
  <si>
    <t>大ドロボウ五十五えもん</t>
  </si>
  <si>
    <t>吉田純子</t>
  </si>
  <si>
    <t>ふしぎいっぱい写真絵本</t>
  </si>
  <si>
    <t>黒魔女さんが通る！</t>
  </si>
  <si>
    <t>石崎洋司</t>
  </si>
  <si>
    <t>杉山亮のとっておきものがたり</t>
  </si>
  <si>
    <t>杉山亮</t>
  </si>
  <si>
    <t>マリア探偵社</t>
  </si>
  <si>
    <t>七つの怪談</t>
  </si>
  <si>
    <t>泣いちゃいそうだよ</t>
  </si>
  <si>
    <t>小林深雪</t>
  </si>
  <si>
    <t>野中柊</t>
  </si>
  <si>
    <t>IQ探偵ムー</t>
  </si>
  <si>
    <t>深沢美潮</t>
  </si>
  <si>
    <t>IQ探偵タクト</t>
  </si>
  <si>
    <t>新　妖界ナビ・ルナ</t>
  </si>
  <si>
    <t>池田美代子</t>
  </si>
  <si>
    <t>なんでも魔女商会</t>
  </si>
  <si>
    <t>グレッグのダメ日記</t>
  </si>
  <si>
    <t>－</t>
  </si>
  <si>
    <t>講談社青い鳥文庫</t>
  </si>
  <si>
    <t>朝日新聞社</t>
  </si>
  <si>
    <t>朝日ジュニア学習年鑑</t>
  </si>
  <si>
    <t>西澤真樹子</t>
  </si>
  <si>
    <t>国立天文台</t>
  </si>
  <si>
    <t>丸善</t>
  </si>
  <si>
    <t>東京創元社</t>
  </si>
  <si>
    <t>書名</t>
  </si>
  <si>
    <t>著者名</t>
  </si>
  <si>
    <t>冊数</t>
  </si>
  <si>
    <t>出版社</t>
  </si>
  <si>
    <t>本体価格</t>
  </si>
  <si>
    <t>税込価格</t>
  </si>
  <si>
    <t>備考</t>
  </si>
  <si>
    <t>計</t>
  </si>
  <si>
    <t>冊</t>
  </si>
  <si>
    <t>発注図書一覧</t>
  </si>
  <si>
    <t>担当：頭師　康一郎</t>
  </si>
  <si>
    <t>請求記号</t>
  </si>
  <si>
    <t>講談社</t>
  </si>
  <si>
    <t>ポプラ社</t>
  </si>
  <si>
    <t>偕成社</t>
  </si>
  <si>
    <t>残高</t>
  </si>
  <si>
    <t>小学館</t>
  </si>
  <si>
    <t>学研</t>
  </si>
  <si>
    <t>原ゆたか</t>
  </si>
  <si>
    <t>斉藤洋</t>
  </si>
  <si>
    <t>ブロンズ新社</t>
  </si>
  <si>
    <t>フォア文庫</t>
  </si>
  <si>
    <t>理論社</t>
  </si>
  <si>
    <t>岩崎書店</t>
  </si>
  <si>
    <t>6　キツネたちの宮へ</t>
  </si>
  <si>
    <t>男子弁当部</t>
  </si>
  <si>
    <t>緑川聖司</t>
  </si>
  <si>
    <t>色の怪談</t>
  </si>
  <si>
    <t>探偵チームKZ事件ノート</t>
  </si>
  <si>
    <t>ＰＨＰ研究所</t>
  </si>
  <si>
    <t>花中探偵クラブ</t>
  </si>
  <si>
    <t>消費税</t>
  </si>
  <si>
    <t>小計</t>
  </si>
  <si>
    <t>総計</t>
  </si>
  <si>
    <t>田島みるく</t>
  </si>
  <si>
    <t>いいからいいから</t>
  </si>
  <si>
    <t>魔使いシリーズ</t>
  </si>
  <si>
    <t>工藤純子</t>
  </si>
  <si>
    <t>ぼくらの怪盗戦争</t>
  </si>
  <si>
    <t>動物と話せる少女リリアーネ</t>
  </si>
  <si>
    <t>桜井谷東小学校　図書館</t>
  </si>
  <si>
    <t>赤毛のアン　新装版</t>
  </si>
  <si>
    <t>講談社青い鳥文庫</t>
  </si>
  <si>
    <t>講談社YA!ENTERTAINMENT</t>
  </si>
  <si>
    <t>名探偵シリーズ</t>
  </si>
  <si>
    <t>アリス館</t>
  </si>
  <si>
    <t>No.</t>
  </si>
  <si>
    <t>そうえん社</t>
  </si>
  <si>
    <t>モンゴメリ</t>
  </si>
  <si>
    <t>32　アルプスの救助犬バリー</t>
  </si>
  <si>
    <t>未来と拓斗の神隠し</t>
  </si>
  <si>
    <t>平成24年度版</t>
  </si>
  <si>
    <t>小峰書店</t>
  </si>
  <si>
    <t>川北亮司</t>
  </si>
  <si>
    <t>長谷川義史</t>
  </si>
  <si>
    <t>教育画劇</t>
  </si>
  <si>
    <t>出版社名</t>
  </si>
  <si>
    <t>内科・オバケ科　ホオズキ医院</t>
  </si>
  <si>
    <t>絵本館</t>
  </si>
  <si>
    <t>角川書店</t>
  </si>
  <si>
    <t>□</t>
  </si>
  <si>
    <t>早川書房</t>
  </si>
  <si>
    <t>3　アンの愛情</t>
  </si>
  <si>
    <t>2012年版</t>
  </si>
  <si>
    <t>23　死神カレンダー</t>
  </si>
  <si>
    <t>夢羽、脱出ゲームに挑戦！</t>
  </si>
  <si>
    <t>銀</t>
  </si>
  <si>
    <t>51　メカメカ大さくせん</t>
  </si>
  <si>
    <t>外伝</t>
  </si>
  <si>
    <t>怪盗レッド</t>
  </si>
  <si>
    <t>宗田理</t>
  </si>
  <si>
    <t>黒猫オルドウィンの冒険</t>
  </si>
  <si>
    <t>泣いちゃいそうだよ　高校生編</t>
  </si>
  <si>
    <t>ヴァンパイレーツ</t>
  </si>
  <si>
    <t>ジャスティン・ソンパー</t>
  </si>
  <si>
    <t>かいけつゾロリ</t>
  </si>
  <si>
    <t>秋木真</t>
  </si>
  <si>
    <t>ゴマブックス</t>
  </si>
  <si>
    <t>くまのがっこう</t>
  </si>
  <si>
    <t>あいはらひろゆき</t>
  </si>
  <si>
    <t>ジャッキーのゆめ</t>
  </si>
  <si>
    <t>ジェフ・キニー</t>
  </si>
  <si>
    <t>6　どうかしてるよ</t>
  </si>
  <si>
    <t>アダム・エプスタイン</t>
  </si>
  <si>
    <t>0～14</t>
  </si>
  <si>
    <t>コミック版　日本の歴史</t>
  </si>
  <si>
    <t>サーティーナイン・クルーズ</t>
  </si>
  <si>
    <t>―</t>
  </si>
  <si>
    <t>メディアファクトリー</t>
  </si>
  <si>
    <t>さかさのこもりくん</t>
  </si>
  <si>
    <t>あきやまただし</t>
  </si>
  <si>
    <t>もりもり</t>
  </si>
  <si>
    <t>シノダ！</t>
  </si>
  <si>
    <t>走れ、カネイノチ！</t>
  </si>
  <si>
    <t>そらまめくんシリーズ</t>
  </si>
  <si>
    <t>なかやみわ</t>
  </si>
  <si>
    <t>ながいながいまめ</t>
  </si>
  <si>
    <t>ダレン・シャン前史　クレプスリー伝説</t>
  </si>
  <si>
    <t>ダレン・シャン</t>
  </si>
  <si>
    <t>イノウエミホコ</t>
  </si>
  <si>
    <t>住滝良</t>
  </si>
  <si>
    <t>チャレンジミッケ！</t>
  </si>
  <si>
    <t>ウォルター・ウィック</t>
  </si>
  <si>
    <t>タニヤ・シュテーブナー</t>
  </si>
  <si>
    <t>学研教育出版</t>
  </si>
  <si>
    <t>はやみねかおる</t>
  </si>
  <si>
    <t>僕はオバケ医者の助手！</t>
  </si>
  <si>
    <t>14　やっぱりきらいじゃないよ</t>
  </si>
  <si>
    <t>4　きみがいてよかった</t>
  </si>
  <si>
    <t>まよわずいらっしゃい</t>
  </si>
  <si>
    <t>あんびるやすこ</t>
  </si>
  <si>
    <t>パスワードシリーズ</t>
  </si>
  <si>
    <t>パディントン</t>
  </si>
  <si>
    <t>マイケル・ボンド</t>
  </si>
  <si>
    <t>ラストダンス</t>
  </si>
  <si>
    <t>パンダのポンポン</t>
  </si>
  <si>
    <t>7　サイクリング・ドーナツ</t>
  </si>
  <si>
    <t>ヒックとドラゴン</t>
  </si>
  <si>
    <t>クレシッダ・コーウェル</t>
  </si>
  <si>
    <t>－</t>
  </si>
  <si>
    <t>19　じゅえきレストラン</t>
  </si>
  <si>
    <t>ブックスパイ・ヨム！</t>
  </si>
  <si>
    <t>ブンダバーシリーズ</t>
  </si>
  <si>
    <t>くぼしまりお</t>
  </si>
  <si>
    <t>ネズミのワゴナー</t>
  </si>
  <si>
    <t>ぼくらシリーズ</t>
  </si>
  <si>
    <t>ホネホネたんけんたい</t>
  </si>
  <si>
    <t>すいぞくかん</t>
  </si>
  <si>
    <t>マジックツリーハウス</t>
  </si>
  <si>
    <t>メアリー・ポープ・オズボーン</t>
  </si>
  <si>
    <t>メディアファクトリー</t>
  </si>
  <si>
    <t>ジョゼフ・ディレイニー</t>
  </si>
  <si>
    <t>ミラクル★キッチン</t>
  </si>
  <si>
    <t>てんやわんや</t>
  </si>
  <si>
    <t>ミランダ・ジョーンズ</t>
  </si>
  <si>
    <t>レイの青春事件簿</t>
  </si>
  <si>
    <t>松原秀典</t>
  </si>
  <si>
    <t>鉄研ミステリー事件簿</t>
  </si>
  <si>
    <t>松原秀典</t>
  </si>
  <si>
    <t>納品</t>
  </si>
  <si>
    <t>本の名前</t>
  </si>
  <si>
    <t>作者</t>
  </si>
  <si>
    <t>分類</t>
  </si>
  <si>
    <t>記号</t>
  </si>
  <si>
    <t>あたらしくきた本リスト</t>
  </si>
  <si>
    <t>納品日</t>
  </si>
  <si>
    <t>予算合計</t>
  </si>
  <si>
    <t>残額</t>
  </si>
  <si>
    <t>支援</t>
  </si>
  <si>
    <t>桜井谷東小学校図書館　図書発注書　回覧</t>
  </si>
  <si>
    <t>回覧開始日：</t>
  </si>
  <si>
    <t>出版者</t>
  </si>
  <si>
    <t>発注</t>
  </si>
  <si>
    <t>消費税差額</t>
  </si>
  <si>
    <r>
      <rPr>
        <b/>
        <sz val="12"/>
        <rFont val="ＭＳ Ｐゴシック"/>
        <family val="0"/>
      </rPr>
      <t>　　　　　　　校長　　　　　　司書教諭</t>
    </r>
    <r>
      <rPr>
        <sz val="12"/>
        <rFont val="ＭＳ Ｐゴシック"/>
        <family val="0"/>
      </rPr>
      <t>　←回覧後に印を押し、最終司書にお戻しください。</t>
    </r>
  </si>
  <si>
    <t>　　　　　　　　　　　　　　　　　　　　　　　　　　　リストに何かご意見・問題等ある場合は司書までお伝えください。</t>
  </si>
  <si>
    <t>分類</t>
  </si>
  <si>
    <t>0類</t>
  </si>
  <si>
    <t>1類</t>
  </si>
  <si>
    <t>2類</t>
  </si>
  <si>
    <t>3類</t>
  </si>
  <si>
    <t>4類</t>
  </si>
  <si>
    <t>5類</t>
  </si>
  <si>
    <t>6類</t>
  </si>
  <si>
    <t>7類</t>
  </si>
  <si>
    <t>8類</t>
  </si>
  <si>
    <t>9類</t>
  </si>
  <si>
    <t>絵本</t>
  </si>
  <si>
    <t>購入割合</t>
  </si>
  <si>
    <t>14年度</t>
  </si>
  <si>
    <t>合計購入冊数</t>
  </si>
  <si>
    <t>シリーズ</t>
  </si>
  <si>
    <t>シリーズ</t>
  </si>
  <si>
    <t>まんが</t>
  </si>
  <si>
    <t>今年度</t>
  </si>
  <si>
    <t>1年生　のりもの</t>
  </si>
  <si>
    <t>2年生　昔話</t>
  </si>
  <si>
    <t>2年生　図鑑</t>
  </si>
  <si>
    <t>3年生　研究レポート</t>
  </si>
  <si>
    <t>3年生　昔の暮らし</t>
  </si>
  <si>
    <t>4年生　ユニバーサルデザイン</t>
  </si>
  <si>
    <t>5年生　都道府県</t>
  </si>
  <si>
    <t>5年生　産業</t>
  </si>
  <si>
    <t>6年生　仕事</t>
  </si>
  <si>
    <t>6年生　平和・戦争（調べ）</t>
  </si>
  <si>
    <t>6年生　平和・戦争（文学）</t>
  </si>
  <si>
    <t>調べ学習</t>
  </si>
  <si>
    <t>買替</t>
  </si>
  <si>
    <t>必要冊数</t>
  </si>
  <si>
    <t>過不足</t>
  </si>
  <si>
    <t>対象学年</t>
  </si>
  <si>
    <t>低学年</t>
  </si>
  <si>
    <t>中学年</t>
  </si>
  <si>
    <t>高学年</t>
  </si>
  <si>
    <t>昨年度所蔵</t>
  </si>
  <si>
    <t>伝No.</t>
  </si>
  <si>
    <t>6年生　まちづくり</t>
  </si>
  <si>
    <t>山口　規子 著</t>
  </si>
  <si>
    <t>新井　卓 著</t>
  </si>
  <si>
    <t>物語</t>
  </si>
  <si>
    <r>
      <t>S</t>
    </r>
    <r>
      <rPr>
        <sz val="11"/>
        <rFont val="ＭＳ Ｐゴシック"/>
        <family val="0"/>
      </rPr>
      <t>LAメディア基準冊数</t>
    </r>
  </si>
  <si>
    <t>能登　宏之／監修</t>
  </si>
  <si>
    <t>郷土出版社</t>
  </si>
  <si>
    <t>ふるさと豊中</t>
  </si>
  <si>
    <t>生田　武志 著／下平　けーすけ 絵</t>
  </si>
  <si>
    <t>368　イ</t>
  </si>
  <si>
    <t>メアリー・ポープ・オズボーン 著／食野　雅子 訳／甘子　彩菜 イラスト</t>
  </si>
  <si>
    <t>369　オ</t>
  </si>
  <si>
    <t>933　オ</t>
  </si>
  <si>
    <t>凹工房 絵</t>
  </si>
  <si>
    <t>452　チ</t>
  </si>
  <si>
    <t>石崎　洋司 著／藤田　香 絵</t>
  </si>
  <si>
    <t>913　イ</t>
  </si>
  <si>
    <t>豊田　巧 著／裕龍　ながれ 絵</t>
  </si>
  <si>
    <t>913　ト</t>
  </si>
  <si>
    <t>リック・リオーダン 著／金原　瑞人 訳／小林　みき 訳</t>
  </si>
  <si>
    <t>933　リ</t>
  </si>
  <si>
    <t>わたなべ　ちなつ 作</t>
  </si>
  <si>
    <t>E　き</t>
  </si>
  <si>
    <t>E　ふ</t>
  </si>
  <si>
    <t>ルイス・カルロス・モンタルバン 著／ブレット・ウィッター 著／ダン・ディオン 写真</t>
  </si>
  <si>
    <t>369　モ</t>
  </si>
  <si>
    <t>小塚　拓矢 著</t>
  </si>
  <si>
    <t>487　ヒ</t>
  </si>
  <si>
    <t>しまおか　ゆみこ 著／モハメッド・チャリンダ 絵</t>
  </si>
  <si>
    <t>E　し</t>
  </si>
  <si>
    <t>宗田　理 作／はしもと　しん 絵</t>
  </si>
  <si>
    <t>913　ソ</t>
  </si>
  <si>
    <t>お仕事ナビ編集室 編</t>
  </si>
  <si>
    <t>366　オ</t>
  </si>
  <si>
    <t>旺文社 編</t>
  </si>
  <si>
    <t>159　カ</t>
  </si>
  <si>
    <t>159　ス</t>
  </si>
  <si>
    <t>361　ト</t>
  </si>
  <si>
    <t>675　モ</t>
  </si>
  <si>
    <t>原　ゆたか 作・絵</t>
  </si>
  <si>
    <t>913　ハ</t>
  </si>
  <si>
    <t>令丈　ヒロ子 他作／浅野　敦子 他作／那須　正幹 他作</t>
  </si>
  <si>
    <t>913　オ</t>
  </si>
  <si>
    <t>谷口　由美子 著／烏羽　雨 絵</t>
  </si>
  <si>
    <t>288　タ</t>
  </si>
  <si>
    <t>337　オ</t>
  </si>
  <si>
    <t>597　セ</t>
  </si>
  <si>
    <t>山田　廸生 監</t>
  </si>
  <si>
    <t>536　ノ</t>
  </si>
  <si>
    <t>町田　健 監／ふわ　こういちろう 絵</t>
  </si>
  <si>
    <t>815　モ</t>
  </si>
  <si>
    <t>石川　宏千花 著</t>
  </si>
  <si>
    <t>時海　結以 文／久織　ちまき 絵</t>
  </si>
  <si>
    <t>913　ヘ</t>
  </si>
  <si>
    <t>山本　悦子 著／佐藤　真紀子 著</t>
  </si>
  <si>
    <t>913　ヤ</t>
  </si>
  <si>
    <t>タニヤ・シュテーブナー 著／中村　智子 訳／駒形 絵</t>
  </si>
  <si>
    <t>943　シ</t>
  </si>
  <si>
    <t>エルヴェ・テュレ 作／谷川　俊太郎 訳</t>
  </si>
  <si>
    <t>E　い</t>
  </si>
  <si>
    <t>きた　あいり 作</t>
  </si>
  <si>
    <t>E　お</t>
  </si>
  <si>
    <t>広野　多珂子 文・絵</t>
  </si>
  <si>
    <t>E　ひ</t>
  </si>
  <si>
    <t xml:space="preserve">カンタン・グレバン 著／青山　花 </t>
  </si>
  <si>
    <t>E　ま</t>
  </si>
  <si>
    <t>ジョン・ファーデル 著／tupera tupera 訳</t>
  </si>
  <si>
    <t>E　る</t>
  </si>
  <si>
    <t>東　菜奈 著</t>
  </si>
  <si>
    <t>291　ヒ</t>
  </si>
  <si>
    <t>小松　義夫 著</t>
  </si>
  <si>
    <t>384　セ</t>
  </si>
  <si>
    <t>阪口　克 写真／中山　茂大 著</t>
  </si>
  <si>
    <t>WILLこども知育研究所 編著</t>
  </si>
  <si>
    <t>498　リ</t>
  </si>
  <si>
    <t>講談社ビーシー 編</t>
  </si>
  <si>
    <t>536　ビ</t>
  </si>
  <si>
    <t>537　サ</t>
  </si>
  <si>
    <t>高島　鎮雄 監</t>
  </si>
  <si>
    <t>537　ハ</t>
  </si>
  <si>
    <t>竹内　もとよ 著／松成　真理子 絵</t>
  </si>
  <si>
    <t>913　ﾀ</t>
  </si>
  <si>
    <t xml:space="preserve">堤　しゅんぺい　作/ 黒須　高嶺　絵 </t>
  </si>
  <si>
    <t>913　ツ</t>
  </si>
  <si>
    <t>モーリス・メーテルリンク 作／江國　香織 訳／高野　文子 絵</t>
  </si>
  <si>
    <t>952　メ</t>
  </si>
  <si>
    <t>マック・バーネット 文／ジョン・クラッセン 絵／なかがわ　ちひろ 訳</t>
  </si>
  <si>
    <t>E　あ</t>
  </si>
  <si>
    <t>クレア・A・ニヴォラ 作／伊東　晶子 訳</t>
  </si>
  <si>
    <t>E　せ</t>
  </si>
  <si>
    <t>ルーシー＆スティーヴン・ホーキング 作／さくまゆみこ 訳</t>
  </si>
  <si>
    <t>933　ホ</t>
  </si>
  <si>
    <t>あんびる　やすこ 著</t>
  </si>
  <si>
    <t>913　ア</t>
  </si>
  <si>
    <t>ジョン・グリシャム 著／石崎　洋司 訳</t>
  </si>
  <si>
    <t>933　グ</t>
  </si>
  <si>
    <t>飯田　朝子 文／寄藤　文平 絵</t>
  </si>
  <si>
    <t>815　イ</t>
  </si>
  <si>
    <t>はやみね　かおる 著／にし　けいこ 著</t>
  </si>
  <si>
    <t>ぼく</t>
  </si>
  <si>
    <t>596　ボ</t>
  </si>
  <si>
    <t>芝田　勝茂 作／倉馬奈未×ハイロン 絵</t>
  </si>
  <si>
    <t>913　シ</t>
  </si>
  <si>
    <t>新宅　広二 著</t>
  </si>
  <si>
    <t>480　シ</t>
  </si>
  <si>
    <t>はやみね　かおる 作／村田　四郎 絵</t>
  </si>
  <si>
    <t>おっちゃん、なんで外で寝なあかんの？
こども夜回りと「ホームレス」の人たち</t>
  </si>
  <si>
    <t>マジック・ツリーハウス　３９　第二次世界大戦の夜</t>
  </si>
  <si>
    <t>地球と自然がわかるうみのえほん</t>
  </si>
  <si>
    <t>黒魔女さんが通る！！　PART２０
奇跡の５年１組、解散！？</t>
  </si>
  <si>
    <t>きょうのおやつは</t>
  </si>
  <si>
    <t>ふしぎなにじ</t>
  </si>
  <si>
    <t>ぼくは、チューズデー</t>
  </si>
  <si>
    <t>秘境＆深海　怪魚超百科</t>
  </si>
  <si>
    <t>しんぞうとひげ</t>
  </si>
  <si>
    <t>ぼくらの○秘学園祭</t>
  </si>
  <si>
    <t>かいけつゾロリきょうふのゆうえんち</t>
  </si>
  <si>
    <t>おもしろい話が読みたい！白虎編</t>
  </si>
  <si>
    <t>サウンド・オブ・ミュージック</t>
  </si>
  <si>
    <t>学校では教えてくれない大切なこと　３
お金のこと</t>
  </si>
  <si>
    <t>学校では教えてくれない大切なこと　２
友だち関係　自分の仲良く</t>
  </si>
  <si>
    <t>学校では教えてくれない大切なこと　１
整理整頓</t>
  </si>
  <si>
    <t>のりものあつまれ！</t>
  </si>
  <si>
    <t>お面屋たまよし　七重ノ祭</t>
  </si>
  <si>
    <t>平家物語　夢を追う者</t>
  </si>
  <si>
    <t>先生、しゅくだいわすれました</t>
  </si>
  <si>
    <t>動物と話せる少女リリアーネ　スペシャル　３</t>
  </si>
  <si>
    <t>いろいろいろのほん</t>
  </si>
  <si>
    <t>おみくじ</t>
  </si>
  <si>
    <t>ピーテル、はないちばへ</t>
  </si>
  <si>
    <t>マンモスとくらすには</t>
  </si>
  <si>
    <t>ルイスがたべられちゃったひ</t>
  </si>
  <si>
    <t>日本全国行ってみたいなあんな町こんな町　７</t>
  </si>
  <si>
    <t>日本全国行ってみたいなあんな町こんな町　６</t>
  </si>
  <si>
    <t>日本全国行ってみたいなあんな町こんな町　５</t>
  </si>
  <si>
    <t>日本全国行ってみたいなあんな町こんな町　４</t>
  </si>
  <si>
    <t>日本全国行ってみたいなあんな町こんな町　３</t>
  </si>
  <si>
    <t>日本全国行ってみたいなあんな町こんな町　２</t>
  </si>
  <si>
    <t>日本全国行ってみたいなあんな町こんな町　１</t>
  </si>
  <si>
    <t>お仕事ナビ　８　人を守る仕事</t>
  </si>
  <si>
    <t>お仕事ナビ　７　海と大地で働く仕事</t>
  </si>
  <si>
    <t>世界のともだち　３０　セネガル</t>
  </si>
  <si>
    <t>世界のともだち　２９　オーストラリア</t>
  </si>
  <si>
    <t>理学療法士の一日</t>
  </si>
  <si>
    <t>のりものだいずかん</t>
  </si>
  <si>
    <t>びっくり！のりものいっぱい</t>
  </si>
  <si>
    <t>最新　はたらくくるま</t>
  </si>
  <si>
    <t>はたらく自動車ずかん</t>
  </si>
  <si>
    <t>ふしぎねこりん丸</t>
  </si>
  <si>
    <t>ツクツクボウシの鳴くころに</t>
  </si>
  <si>
    <t>青い鳥　新装版</t>
  </si>
  <si>
    <t>アナベルとふしぎなけいと</t>
  </si>
  <si>
    <t>世界のまんなかの島　わたしのオラーニ</t>
  </si>
  <si>
    <t>少年弁護士セオの事件簿　５　逃亡者の目</t>
  </si>
  <si>
    <t>みんなでつくる１本の辞書</t>
  </si>
  <si>
    <t>ぼくのおやつ百科</t>
  </si>
  <si>
    <t>空母せたたま小学校、発進！</t>
  </si>
  <si>
    <t>世界のともだち　３２　ドイツ</t>
  </si>
  <si>
    <t>世界のともだち　３１　イタリア</t>
  </si>
  <si>
    <t>人形は笑わない</t>
  </si>
  <si>
    <t>きえた！？かいけつゾロリ</t>
  </si>
  <si>
    <t>学校では教えてくれない大切なこと　６
友だち関係</t>
  </si>
  <si>
    <t>学校では教えてくれない大切なこと　５
カッコよくなりたい</t>
  </si>
  <si>
    <t>学校では教えてくれない大切なこと　４
ステキになりたい</t>
  </si>
  <si>
    <t>マジック・ツリーハウス　探検ガイド
サバイバル入門</t>
  </si>
  <si>
    <t>危険生物最恐図鑑</t>
  </si>
  <si>
    <t>学校では教えてくれない大切なこと　７
物の流れ</t>
  </si>
  <si>
    <t>人生</t>
  </si>
  <si>
    <t>288　タ</t>
  </si>
  <si>
    <t>291　ヒ</t>
  </si>
  <si>
    <t>337　オ</t>
  </si>
  <si>
    <t>361　ト</t>
  </si>
  <si>
    <t>366　オ</t>
  </si>
  <si>
    <t>生活</t>
  </si>
  <si>
    <t>えほん</t>
  </si>
  <si>
    <t>言葉</t>
  </si>
  <si>
    <t>料理</t>
  </si>
  <si>
    <t>のりもの</t>
  </si>
  <si>
    <t>医学</t>
  </si>
  <si>
    <t>いきもの</t>
  </si>
  <si>
    <t>海</t>
  </si>
  <si>
    <t>外国</t>
  </si>
  <si>
    <t>福祉</t>
  </si>
  <si>
    <t>災害</t>
  </si>
  <si>
    <t>仕事</t>
  </si>
  <si>
    <t>日本人なら知っておきたい！
モノの数え方えほん</t>
  </si>
  <si>
    <t>なんでも魔女商会　２３
あたらしいわたしの探し方</t>
  </si>
  <si>
    <t>電車で行こう！１７
山手線で東京・鉄道スポット探検！</t>
  </si>
  <si>
    <t>都会のトム＆ソーヤ　１３</t>
  </si>
  <si>
    <t>ホーキング博士のスペース・アドベンチャーシリーズ　宇宙の法則　解けない暗号</t>
  </si>
  <si>
    <t>オリンポスの神々と７人の英雄　５
最後の航海</t>
  </si>
  <si>
    <t>未請求額</t>
  </si>
  <si>
    <t>朝日ジュニア学習年鑑　２０１６</t>
  </si>
  <si>
    <t>朝日新聞出版 著</t>
  </si>
  <si>
    <t>059　ア</t>
  </si>
  <si>
    <t>朝日新聞出版社</t>
  </si>
  <si>
    <t>スポーツ年鑑　２０１６</t>
  </si>
  <si>
    <t>780　ス</t>
  </si>
  <si>
    <t>ニュース年鑑　２０１６</t>
  </si>
  <si>
    <t>池上　彰 監／こどもくらぶ 編</t>
  </si>
  <si>
    <t>304　ニ</t>
  </si>
  <si>
    <t>貸出禁止</t>
  </si>
  <si>
    <t>216　フ</t>
  </si>
  <si>
    <t>済</t>
  </si>
  <si>
    <t>水族館のひみつ</t>
  </si>
  <si>
    <t>新野　大 著</t>
  </si>
  <si>
    <t>480　ニ</t>
  </si>
  <si>
    <t>PHP研究所</t>
  </si>
  <si>
    <t>授業関連</t>
  </si>
  <si>
    <t>4類</t>
  </si>
  <si>
    <t>6年仕事</t>
  </si>
  <si>
    <t>漁業国日本を知ろう　近畿の漁業</t>
  </si>
  <si>
    <t>坂本　一男 監／吉田　忠正 文・写真</t>
  </si>
  <si>
    <t>662　ギ</t>
  </si>
  <si>
    <t>ほるぷ出版</t>
  </si>
  <si>
    <t>6類</t>
  </si>
  <si>
    <t>5年産業</t>
  </si>
  <si>
    <t>漁業国日本を知ろう　中部の漁業</t>
  </si>
  <si>
    <t>アナウンサーになろう！</t>
  </si>
  <si>
    <t>堤　江実 著</t>
  </si>
  <si>
    <t>699　ツ</t>
  </si>
  <si>
    <t>妖精チームGノート　星形クッキーは知っている</t>
  </si>
  <si>
    <t>住滝　良 著／藤本　ひとみ 原案／清瀬　赤目 絵</t>
  </si>
  <si>
    <t>913　ス</t>
  </si>
  <si>
    <t>シリーズ9類</t>
  </si>
  <si>
    <t>こんや、妖怪がやってくる</t>
  </si>
  <si>
    <t>君島　久子 文／小野　かおる 絵</t>
  </si>
  <si>
    <t>E　こ</t>
  </si>
  <si>
    <t>岩波書店</t>
  </si>
  <si>
    <t>E</t>
  </si>
  <si>
    <t>2年昔話</t>
  </si>
  <si>
    <t>泣いちゃいそうだよ　女の子ってなんでできてる？</t>
  </si>
  <si>
    <t>小林　深雪 著／牧村　久実 著</t>
  </si>
  <si>
    <t>913　コ</t>
  </si>
  <si>
    <t>としょかんねずみ　５</t>
  </si>
  <si>
    <t>ダニエル・カーク 作／わたなべ　てつた 訳</t>
  </si>
  <si>
    <t>E　と</t>
  </si>
  <si>
    <t>瑞雲舎</t>
  </si>
  <si>
    <t>E</t>
  </si>
  <si>
    <t>シリーズE</t>
  </si>
  <si>
    <t>ふまんがあります</t>
  </si>
  <si>
    <t>ヨシタケ　シンスケ 著</t>
  </si>
  <si>
    <t>E　ふ</t>
  </si>
  <si>
    <t>ニューワイド学研の図鑑　動物　増補改訂版</t>
  </si>
  <si>
    <t>今泉　忠明 監</t>
  </si>
  <si>
    <t>489　ド</t>
  </si>
  <si>
    <t>2年図鑑</t>
  </si>
  <si>
    <t>ニューワイド学研の図鑑　昆虫　増補改訂版</t>
  </si>
  <si>
    <t>友国　雅章 監</t>
  </si>
  <si>
    <t>489　コ</t>
  </si>
  <si>
    <t>日本全国行ってみたいなあんな町こんな町　３</t>
  </si>
  <si>
    <t>東　菜奈 著</t>
  </si>
  <si>
    <t>291　ヒ</t>
  </si>
  <si>
    <t>岩崎書店</t>
  </si>
  <si>
    <t>2類</t>
  </si>
  <si>
    <t>5年都道府県</t>
  </si>
  <si>
    <t>日本全国行ってみたいなあんな町こんな町　１</t>
  </si>
  <si>
    <t>テーマ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</si>
</sst>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￥-411]#,##0;[Red]\-[$￥-411]#,##0"/>
    <numFmt numFmtId="182" formatCode="_ &quot;¥&quot;* #,##0.000_ ;_ &quot;¥&quot;* \-#,##0.000_ ;_ &quot;¥&quot;* &quot;-&quot;???_ ;_ @_ "/>
    <numFmt numFmtId="183" formatCode="m&quot;月&quot;d&quot;日&quot;;@"/>
    <numFmt numFmtId="184" formatCode="0.0%"/>
    <numFmt numFmtId="185" formatCode="yyyy&quot;年&quot;m&quot;月&quot;;@"/>
    <numFmt numFmtId="186" formatCode="0_);[Red]\(0\)"/>
    <numFmt numFmtId="187" formatCode="&quot;¥&quot;#,##0_);[Red]\(&quot;¥&quot;#,##0\)"/>
    <numFmt numFmtId="188" formatCode="&quot;¥&quot;#,##0.00_);[Red]\(&quot;¥&quot;#,##0.00\)"/>
    <numFmt numFmtId="189" formatCode="0.E+00"/>
    <numFmt numFmtId="190" formatCode="0_ "/>
    <numFmt numFmtId="191" formatCode="[$-411]yyyy&quot;年&quot;m&quot;月&quot;d&quot;日&quot;dddd"/>
  </numFmts>
  <fonts count="50">
    <font>
      <sz val="11"/>
      <name val="ＭＳ Ｐゴシック"/>
      <family val="0"/>
    </font>
    <font>
      <sz val="6"/>
      <name val="ＭＳ Ｐゴシック"/>
      <family val="0"/>
    </font>
    <font>
      <sz val="10"/>
      <name val="ＭＳ Ｐゴシック"/>
      <family val="0"/>
    </font>
    <font>
      <b/>
      <sz val="10"/>
      <name val="ＭＳ Ｐゴシック"/>
      <family val="0"/>
    </font>
    <font>
      <b/>
      <sz val="12"/>
      <name val="ＭＳ Ｐゴシック"/>
      <family val="0"/>
    </font>
    <font>
      <sz val="14"/>
      <name val="ＭＳ Ｐゴシック"/>
      <family val="0"/>
    </font>
    <font>
      <b/>
      <sz val="20"/>
      <name val="ＭＳ Ｐゴシック"/>
      <family val="0"/>
    </font>
    <font>
      <sz val="12"/>
      <name val="ＭＳ Ｐゴシック"/>
      <family val="0"/>
    </font>
    <font>
      <sz val="9"/>
      <name val="ＭＳ Ｐゴシック"/>
      <family val="0"/>
    </font>
    <font>
      <u val="single"/>
      <sz val="8.25"/>
      <color indexed="12"/>
      <name val="ＭＳ Ｐゴシック"/>
      <family val="0"/>
    </font>
    <font>
      <u val="single"/>
      <sz val="8.25"/>
      <color indexed="36"/>
      <name val="ＭＳ Ｐゴシック"/>
      <family val="0"/>
    </font>
    <font>
      <sz val="11"/>
      <name val="明朝"/>
      <family val="0"/>
    </font>
    <font>
      <sz val="5"/>
      <name val="ＭＳ Ｐゴシック"/>
      <family val="0"/>
    </font>
    <font>
      <sz val="14"/>
      <name val="HGS創英角ﾎﾟｯﾌﾟ体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11"/>
      <color indexed="55"/>
      <name val="Yu Gothic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29" borderId="5" applyNumberFormat="0" applyAlignment="0" applyProtection="0"/>
    <xf numFmtId="0" fontId="41" fillId="30" borderId="0" applyNumberFormat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>
      <alignment/>
      <protection/>
    </xf>
    <xf numFmtId="0" fontId="42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0" borderId="9" applyNumberFormat="0" applyFill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42" fontId="3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2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42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42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42" fontId="2" fillId="33" borderId="10" xfId="0" applyNumberFormat="1" applyFont="1" applyFill="1" applyBorder="1" applyAlignment="1">
      <alignment horizontal="right" vertical="center"/>
    </xf>
    <xf numFmtId="42" fontId="2" fillId="0" borderId="10" xfId="0" applyNumberFormat="1" applyFont="1" applyFill="1" applyBorder="1" applyAlignment="1">
      <alignment vertical="center"/>
    </xf>
    <xf numFmtId="42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2" fontId="2" fillId="34" borderId="12" xfId="0" applyNumberFormat="1" applyFont="1" applyFill="1" applyBorder="1" applyAlignment="1">
      <alignment horizontal="center" vertical="center"/>
    </xf>
    <xf numFmtId="42" fontId="2" fillId="34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2" fontId="2" fillId="0" borderId="10" xfId="0" applyNumberFormat="1" applyFont="1" applyFill="1" applyBorder="1" applyAlignment="1">
      <alignment horizontal="right" vertical="center"/>
    </xf>
    <xf numFmtId="42" fontId="2" fillId="33" borderId="12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83" fontId="2" fillId="0" borderId="10" xfId="0" applyNumberFormat="1" applyFont="1" applyBorder="1" applyAlignment="1">
      <alignment vertical="center" wrapText="1"/>
    </xf>
    <xf numFmtId="183" fontId="3" fillId="32" borderId="10" xfId="0" applyNumberFormat="1" applyFont="1" applyFill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183" fontId="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5" fontId="0" fillId="0" borderId="0" xfId="0" applyNumberFormat="1" applyFont="1" applyAlignment="1">
      <alignment horizontal="left" vertical="center"/>
    </xf>
    <xf numFmtId="5" fontId="0" fillId="0" borderId="0" xfId="0" applyNumberFormat="1" applyFont="1" applyAlignment="1">
      <alignment vertical="center"/>
    </xf>
    <xf numFmtId="42" fontId="0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87" fontId="2" fillId="0" borderId="10" xfId="0" applyNumberFormat="1" applyFont="1" applyBorder="1" applyAlignment="1">
      <alignment vertical="center"/>
    </xf>
    <xf numFmtId="186" fontId="2" fillId="32" borderId="10" xfId="0" applyNumberFormat="1" applyFont="1" applyFill="1" applyBorder="1" applyAlignment="1">
      <alignment horizontal="center" vertical="center"/>
    </xf>
    <xf numFmtId="187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42" fontId="2" fillId="0" borderId="0" xfId="0" applyNumberFormat="1" applyFont="1" applyAlignment="1">
      <alignment horizontal="right" vertical="center"/>
    </xf>
    <xf numFmtId="189" fontId="2" fillId="0" borderId="0" xfId="0" applyNumberFormat="1" applyFont="1" applyAlignment="1" quotePrefix="1">
      <alignment horizontal="right" vertical="center"/>
    </xf>
    <xf numFmtId="42" fontId="2" fillId="0" borderId="0" xfId="0" applyNumberFormat="1" applyFont="1" applyAlignment="1" quotePrefix="1">
      <alignment horizontal="right" vertical="center"/>
    </xf>
    <xf numFmtId="41" fontId="2" fillId="0" borderId="10" xfId="0" applyNumberFormat="1" applyFont="1" applyBorder="1" applyAlignment="1" quotePrefix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190" fontId="2" fillId="0" borderId="10" xfId="0" applyNumberFormat="1" applyFont="1" applyBorder="1" applyAlignment="1">
      <alignment horizontal="left" vertical="center"/>
    </xf>
    <xf numFmtId="190" fontId="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10" fontId="0" fillId="0" borderId="10" xfId="0" applyNumberFormat="1" applyFont="1" applyBorder="1" applyAlignment="1">
      <alignment vertical="center"/>
    </xf>
    <xf numFmtId="9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center" vertical="center"/>
    </xf>
    <xf numFmtId="0" fontId="7" fillId="35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35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90" fontId="0" fillId="0" borderId="10" xfId="0" applyNumberFormat="1" applyFont="1" applyBorder="1" applyAlignment="1">
      <alignment vertical="center" wrapText="1"/>
    </xf>
    <xf numFmtId="4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3" fillId="32" borderId="10" xfId="0" applyFont="1" applyFill="1" applyBorder="1" applyAlignment="1">
      <alignment horizontal="left" vertical="center"/>
    </xf>
    <xf numFmtId="190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10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wrapText="1"/>
    </xf>
    <xf numFmtId="9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2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 quotePrefix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176" fontId="13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190" fontId="0" fillId="0" borderId="10" xfId="0" applyNumberFormat="1" applyFont="1" applyBorder="1" applyAlignment="1">
      <alignment horizontal="left" vertical="center"/>
    </xf>
    <xf numFmtId="190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桁区切り 2" xfId="50"/>
    <cellStyle name="Comma [0]" xfId="51"/>
    <cellStyle name="標準 2" xfId="52"/>
    <cellStyle name="良い" xfId="53"/>
    <cellStyle name="Followed Hyperlink" xfId="54"/>
    <cellStyle name="見出し 1" xfId="55"/>
    <cellStyle name="見出し 2" xfId="56"/>
    <cellStyle name="見出し 3" xfId="57"/>
    <cellStyle name="見出し 4" xfId="58"/>
    <cellStyle name="計算方法" xfId="59"/>
    <cellStyle name="説明文" xfId="60"/>
    <cellStyle name="警告文" xfId="61"/>
    <cellStyle name="Currency" xfId="62"/>
    <cellStyle name="Currency [0]" xfId="63"/>
    <cellStyle name="集計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2</xdr:row>
      <xdr:rowOff>123825</xdr:rowOff>
    </xdr:from>
    <xdr:to>
      <xdr:col>0</xdr:col>
      <xdr:colOff>1790700</xdr:colOff>
      <xdr:row>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1257300" y="533400"/>
          <a:ext cx="533400" cy="4572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印</a:t>
          </a:r>
        </a:p>
      </xdr:txBody>
    </xdr:sp>
    <xdr:clientData/>
  </xdr:twoCellAnchor>
  <xdr:twoCellAnchor>
    <xdr:from>
      <xdr:col>0</xdr:col>
      <xdr:colOff>200025</xdr:colOff>
      <xdr:row>2</xdr:row>
      <xdr:rowOff>123825</xdr:rowOff>
    </xdr:from>
    <xdr:to>
      <xdr:col>0</xdr:col>
      <xdr:colOff>723900</xdr:colOff>
      <xdr:row>4</xdr:row>
      <xdr:rowOff>114300</xdr:rowOff>
    </xdr:to>
    <xdr:sp>
      <xdr:nvSpPr>
        <xdr:cNvPr id="2" name="正方形/長方形 2"/>
        <xdr:cNvSpPr>
          <a:spLocks/>
        </xdr:cNvSpPr>
      </xdr:nvSpPr>
      <xdr:spPr>
        <a:xfrm>
          <a:off x="200025" y="533400"/>
          <a:ext cx="523875" cy="4572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2</xdr:row>
      <xdr:rowOff>123825</xdr:rowOff>
    </xdr:from>
    <xdr:to>
      <xdr:col>0</xdr:col>
      <xdr:colOff>1790700</xdr:colOff>
      <xdr:row>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1257300" y="533400"/>
          <a:ext cx="533400" cy="4572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印</a:t>
          </a:r>
        </a:p>
      </xdr:txBody>
    </xdr:sp>
    <xdr:clientData/>
  </xdr:twoCellAnchor>
  <xdr:twoCellAnchor>
    <xdr:from>
      <xdr:col>0</xdr:col>
      <xdr:colOff>200025</xdr:colOff>
      <xdr:row>2</xdr:row>
      <xdr:rowOff>123825</xdr:rowOff>
    </xdr:from>
    <xdr:to>
      <xdr:col>0</xdr:col>
      <xdr:colOff>723900</xdr:colOff>
      <xdr:row>4</xdr:row>
      <xdr:rowOff>114300</xdr:rowOff>
    </xdr:to>
    <xdr:sp>
      <xdr:nvSpPr>
        <xdr:cNvPr id="2" name="正方形/長方形 2"/>
        <xdr:cNvSpPr>
          <a:spLocks/>
        </xdr:cNvSpPr>
      </xdr:nvSpPr>
      <xdr:spPr>
        <a:xfrm>
          <a:off x="200025" y="533400"/>
          <a:ext cx="523875" cy="4572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0</xdr:row>
      <xdr:rowOff>47625</xdr:rowOff>
    </xdr:from>
    <xdr:to>
      <xdr:col>12</xdr:col>
      <xdr:colOff>428625</xdr:colOff>
      <xdr:row>14</xdr:row>
      <xdr:rowOff>47625</xdr:rowOff>
    </xdr:to>
    <xdr:sp>
      <xdr:nvSpPr>
        <xdr:cNvPr id="1" name="角丸四角形 3"/>
        <xdr:cNvSpPr>
          <a:spLocks/>
        </xdr:cNvSpPr>
      </xdr:nvSpPr>
      <xdr:spPr>
        <a:xfrm>
          <a:off x="12134850" y="47625"/>
          <a:ext cx="466725" cy="5619750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114300</xdr:rowOff>
    </xdr:from>
    <xdr:to>
      <xdr:col>20</xdr:col>
      <xdr:colOff>123825</xdr:colOff>
      <xdr:row>2</xdr:row>
      <xdr:rowOff>409575</xdr:rowOff>
    </xdr:to>
    <xdr:sp>
      <xdr:nvSpPr>
        <xdr:cNvPr id="2" name="四角形吹き出し 2"/>
        <xdr:cNvSpPr>
          <a:spLocks/>
        </xdr:cNvSpPr>
      </xdr:nvSpPr>
      <xdr:spPr>
        <a:xfrm>
          <a:off x="14820900" y="285750"/>
          <a:ext cx="3171825" cy="714375"/>
        </a:xfrm>
        <a:prstGeom prst="wedgeRectCallout">
          <a:avLst>
            <a:gd name="adj1" fmla="val -115750"/>
            <a:gd name="adj2" fmla="val -3401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列</a:t>
          </a:r>
          <a:r>
            <a:rPr lang="en-US" cap="none" sz="1100" b="0" i="0" u="none" baseline="0">
              <a:solidFill>
                <a:srgbClr val="000000"/>
              </a:solidFill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類</a:t>
          </a:r>
          <a:r>
            <a:rPr lang="en-US" cap="none" sz="1100" b="0" i="0" u="none" baseline="0">
              <a:solidFill>
                <a:srgbClr val="000000"/>
              </a:solidFill>
            </a:rPr>
            <a:t>〜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類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</a:rPr>
            <a:t>力</a:t>
          </a:r>
          <a:r>
            <a:rPr lang="en-US" cap="none" sz="1100" b="0" i="0" u="none" baseline="0">
              <a:solidFill>
                <a:srgbClr val="000000"/>
              </a:solidFill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</a:rPr>
            <a:t>る</a:t>
          </a:r>
          <a:r>
            <a:rPr lang="en-US" cap="none" sz="1100" b="0" i="0" u="none" baseline="0">
              <a:solidFill>
                <a:srgbClr val="000000"/>
              </a:solidFill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</a:rPr>
            <a:t>下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赤</a:t>
          </a:r>
          <a:r>
            <a:rPr lang="en-US" cap="none" sz="1100" b="0" i="0" u="none" baseline="0">
              <a:solidFill>
                <a:srgbClr val="000000"/>
              </a:solidFill>
            </a:rPr>
            <a:t>枠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</a:rPr>
            <a:t>冊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</a:rPr>
            <a:t>購</a:t>
          </a:r>
          <a:r>
            <a:rPr lang="en-US" cap="none" sz="1100" b="0" i="0" u="none" baseline="0">
              <a:solidFill>
                <a:srgbClr val="000000"/>
              </a:solidFill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</a:rPr>
            <a:t>割</a:t>
          </a:r>
          <a:r>
            <a:rPr lang="en-US" cap="none" sz="1100" b="0" i="0" u="none" baseline="0">
              <a:solidFill>
                <a:srgbClr val="000000"/>
              </a:solidFill>
            </a:rPr>
            <a:t>合</a:t>
          </a:r>
          <a:r>
            <a:rPr lang="en-US" cap="none" sz="1100" b="0" i="0" u="none" baseline="0">
              <a:solidFill>
                <a:srgbClr val="000000"/>
              </a:solidFill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</a:rPr>
            <a:t>動</a:t>
          </a:r>
          <a:r>
            <a:rPr lang="en-US" cap="none" sz="1100" b="0" i="0" u="none" baseline="0">
              <a:solidFill>
                <a:srgbClr val="000000"/>
              </a:solidFill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</a:rPr>
            <a:t>れ</a:t>
          </a:r>
          <a:r>
            <a:rPr lang="en-US" cap="none" sz="1100" b="0" i="0" u="none" baseline="0">
              <a:solidFill>
                <a:srgbClr val="000000"/>
              </a:solidFill>
            </a:rPr>
            <a:t>る</a:t>
          </a:r>
        </a:p>
      </xdr:txBody>
    </xdr:sp>
    <xdr:clientData/>
  </xdr:twoCellAnchor>
  <xdr:twoCellAnchor>
    <xdr:from>
      <xdr:col>6</xdr:col>
      <xdr:colOff>800100</xdr:colOff>
      <xdr:row>20</xdr:row>
      <xdr:rowOff>123825</xdr:rowOff>
    </xdr:from>
    <xdr:to>
      <xdr:col>8</xdr:col>
      <xdr:colOff>647700</xdr:colOff>
      <xdr:row>34</xdr:row>
      <xdr:rowOff>28575</xdr:rowOff>
    </xdr:to>
    <xdr:sp>
      <xdr:nvSpPr>
        <xdr:cNvPr id="3" name="角丸四角形 5"/>
        <xdr:cNvSpPr>
          <a:spLocks/>
        </xdr:cNvSpPr>
      </xdr:nvSpPr>
      <xdr:spPr>
        <a:xfrm>
          <a:off x="9096375" y="6791325"/>
          <a:ext cx="1457325" cy="2305050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0</xdr:row>
      <xdr:rowOff>47625</xdr:rowOff>
    </xdr:from>
    <xdr:to>
      <xdr:col>13</xdr:col>
      <xdr:colOff>638175</xdr:colOff>
      <xdr:row>14</xdr:row>
      <xdr:rowOff>47625</xdr:rowOff>
    </xdr:to>
    <xdr:sp>
      <xdr:nvSpPr>
        <xdr:cNvPr id="4" name="角丸四角形 6"/>
        <xdr:cNvSpPr>
          <a:spLocks/>
        </xdr:cNvSpPr>
      </xdr:nvSpPr>
      <xdr:spPr>
        <a:xfrm>
          <a:off x="12696825" y="47625"/>
          <a:ext cx="571500" cy="5619750"/>
        </a:xfrm>
        <a:prstGeom prst="roundRect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4</xdr:row>
      <xdr:rowOff>314325</xdr:rowOff>
    </xdr:from>
    <xdr:to>
      <xdr:col>20</xdr:col>
      <xdr:colOff>123825</xdr:colOff>
      <xdr:row>7</xdr:row>
      <xdr:rowOff>0</xdr:rowOff>
    </xdr:to>
    <xdr:sp>
      <xdr:nvSpPr>
        <xdr:cNvPr id="5" name="四角形吹き出し 5"/>
        <xdr:cNvSpPr>
          <a:spLocks/>
        </xdr:cNvSpPr>
      </xdr:nvSpPr>
      <xdr:spPr>
        <a:xfrm>
          <a:off x="14820900" y="1743075"/>
          <a:ext cx="3171825" cy="942975"/>
        </a:xfrm>
        <a:prstGeom prst="wedgeRectCallout">
          <a:avLst>
            <a:gd name="adj1" fmla="val -97481"/>
            <a:gd name="adj2" fmla="val -42592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列</a:t>
          </a:r>
          <a:r>
            <a:rPr lang="en-US" cap="none" sz="1100" b="0" i="0" u="none" baseline="0">
              <a:solidFill>
                <a:srgbClr val="000000"/>
              </a:solidFill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シ</a:t>
          </a:r>
          <a:r>
            <a:rPr lang="en-US" cap="none" sz="1100" b="0" i="0" u="none" baseline="0">
              <a:solidFill>
                <a:srgbClr val="000000"/>
              </a:solidFill>
            </a:rPr>
            <a:t>リ</a:t>
          </a:r>
          <a:r>
            <a:rPr lang="en-US" cap="none" sz="1100" b="0" i="0" u="none" baseline="0">
              <a:solidFill>
                <a:srgbClr val="000000"/>
              </a:solidFill>
            </a:rPr>
            <a:t>ー</a:t>
          </a:r>
          <a:r>
            <a:rPr lang="en-US" cap="none" sz="1100" b="0" i="0" u="none" baseline="0">
              <a:solidFill>
                <a:srgbClr val="000000"/>
              </a:solidFill>
            </a:rPr>
            <a:t>ズ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類</a:t>
          </a:r>
          <a:r>
            <a:rPr lang="en-US" cap="none" sz="1100" b="0" i="0" u="none" baseline="0">
              <a:solidFill>
                <a:srgbClr val="000000"/>
              </a:solidFill>
            </a:rPr>
            <a:t>〜</a:t>
          </a:r>
          <a:r>
            <a:rPr lang="en-US" cap="none" sz="1100" b="0" i="0" u="none" baseline="0">
              <a:solidFill>
                <a:srgbClr val="000000"/>
              </a:solidFill>
            </a:rPr>
            <a:t>シ</a:t>
          </a:r>
          <a:r>
            <a:rPr lang="en-US" cap="none" sz="1100" b="0" i="0" u="none" baseline="0">
              <a:solidFill>
                <a:srgbClr val="000000"/>
              </a:solidFill>
            </a:rPr>
            <a:t>リ</a:t>
          </a:r>
          <a:r>
            <a:rPr lang="en-US" cap="none" sz="1100" b="0" i="0" u="none" baseline="0">
              <a:solidFill>
                <a:srgbClr val="000000"/>
              </a:solidFill>
            </a:rPr>
            <a:t>ー</a:t>
          </a:r>
          <a:r>
            <a:rPr lang="en-US" cap="none" sz="1100" b="0" i="0" u="none" baseline="0">
              <a:solidFill>
                <a:srgbClr val="000000"/>
              </a:solidFill>
            </a:rPr>
            <a:t>ズ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類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シ</a:t>
          </a:r>
          <a:r>
            <a:rPr lang="en-US" cap="none" sz="1100" b="0" i="0" u="none" baseline="0">
              <a:solidFill>
                <a:srgbClr val="000000"/>
              </a:solidFill>
            </a:rPr>
            <a:t>リ</a:t>
          </a:r>
          <a:r>
            <a:rPr lang="en-US" cap="none" sz="1100" b="0" i="0" u="none" baseline="0">
              <a:solidFill>
                <a:srgbClr val="000000"/>
              </a:solidFill>
            </a:rPr>
            <a:t>ー</a:t>
          </a:r>
          <a:r>
            <a:rPr lang="en-US" cap="none" sz="1100" b="0" i="0" u="none" baseline="0">
              <a:solidFill>
                <a:srgbClr val="000000"/>
              </a:solidFill>
            </a:rPr>
            <a:t>ズ</a:t>
          </a:r>
          <a:r>
            <a:rPr lang="en-US" cap="none" sz="1100" b="0" i="0" u="none" baseline="0">
              <a:solidFill>
                <a:srgbClr val="000000"/>
              </a:solidFill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シ</a:t>
          </a:r>
          <a:r>
            <a:rPr lang="en-US" cap="none" sz="1100" b="0" i="0" u="none" baseline="0">
              <a:solidFill>
                <a:srgbClr val="000000"/>
              </a:solidFill>
            </a:rPr>
            <a:t>リ</a:t>
          </a:r>
          <a:r>
            <a:rPr lang="en-US" cap="none" sz="1100" b="0" i="0" u="none" baseline="0">
              <a:solidFill>
                <a:srgbClr val="000000"/>
              </a:solidFill>
            </a:rPr>
            <a:t>ー</a:t>
          </a:r>
          <a:r>
            <a:rPr lang="en-US" cap="none" sz="1100" b="0" i="0" u="none" baseline="0">
              <a:solidFill>
                <a:srgbClr val="000000"/>
              </a:solidFill>
            </a:rPr>
            <a:t>ズ</a:t>
          </a:r>
          <a:r>
            <a:rPr lang="en-US" cap="none" sz="1100" b="0" i="0" u="none" baseline="0">
              <a:solidFill>
                <a:srgbClr val="000000"/>
              </a:solidFill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</a:rPr>
            <a:t>力</a:t>
          </a:r>
          <a:r>
            <a:rPr lang="en-US" cap="none" sz="1100" b="0" i="0" u="none" baseline="0">
              <a:solidFill>
                <a:srgbClr val="000000"/>
              </a:solidFill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</a:rPr>
            <a:t>る</a:t>
          </a:r>
          <a:r>
            <a:rPr lang="en-US" cap="none" sz="1100" b="0" i="0" u="none" baseline="0">
              <a:solidFill>
                <a:srgbClr val="000000"/>
              </a:solidFill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</a:rPr>
            <a:t>下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緑</a:t>
          </a:r>
          <a:r>
            <a:rPr lang="en-US" cap="none" sz="1100" b="0" i="0" u="none" baseline="0">
              <a:solidFill>
                <a:srgbClr val="000000"/>
              </a:solidFill>
            </a:rPr>
            <a:t>枠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</a:rPr>
            <a:t>シ</a:t>
          </a:r>
          <a:r>
            <a:rPr lang="en-US" cap="none" sz="1100" b="0" i="0" u="none" baseline="0">
              <a:solidFill>
                <a:srgbClr val="000000"/>
              </a:solidFill>
            </a:rPr>
            <a:t>リ</a:t>
          </a:r>
          <a:r>
            <a:rPr lang="en-US" cap="none" sz="1100" b="0" i="0" u="none" baseline="0">
              <a:solidFill>
                <a:srgbClr val="000000"/>
              </a:solidFill>
            </a:rPr>
            <a:t>ー</a:t>
          </a:r>
          <a:r>
            <a:rPr lang="en-US" cap="none" sz="1100" b="0" i="0" u="none" baseline="0">
              <a:solidFill>
                <a:srgbClr val="000000"/>
              </a:solidFill>
            </a:rPr>
            <a:t>ズ</a:t>
          </a:r>
          <a:r>
            <a:rPr lang="en-US" cap="none" sz="1100" b="0" i="0" u="none" baseline="0">
              <a:solidFill>
                <a:srgbClr val="000000"/>
              </a:solidFill>
            </a:rPr>
            <a:t>も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購</a:t>
          </a:r>
          <a:r>
            <a:rPr lang="en-US" cap="none" sz="1100" b="0" i="0" u="none" baseline="0">
              <a:solidFill>
                <a:srgbClr val="000000"/>
              </a:solidFill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</a:rPr>
            <a:t>冊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冊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</a:rPr>
            <a:t>動</a:t>
          </a:r>
          <a:r>
            <a:rPr lang="en-US" cap="none" sz="1100" b="0" i="0" u="none" baseline="0">
              <a:solidFill>
                <a:srgbClr val="000000"/>
              </a:solidFill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</a:rPr>
            <a:t>れ</a:t>
          </a:r>
          <a:r>
            <a:rPr lang="en-US" cap="none" sz="1100" b="0" i="0" u="none" baseline="0">
              <a:solidFill>
                <a:srgbClr val="000000"/>
              </a:solidFill>
            </a:rPr>
            <a:t>る</a:t>
          </a:r>
        </a:p>
      </xdr:txBody>
    </xdr:sp>
    <xdr:clientData/>
  </xdr:twoCellAnchor>
  <xdr:twoCellAnchor>
    <xdr:from>
      <xdr:col>9</xdr:col>
      <xdr:colOff>38100</xdr:colOff>
      <xdr:row>20</xdr:row>
      <xdr:rowOff>123825</xdr:rowOff>
    </xdr:from>
    <xdr:to>
      <xdr:col>10</xdr:col>
      <xdr:colOff>9525</xdr:colOff>
      <xdr:row>34</xdr:row>
      <xdr:rowOff>28575</xdr:rowOff>
    </xdr:to>
    <xdr:sp>
      <xdr:nvSpPr>
        <xdr:cNvPr id="6" name="角丸四角形 8"/>
        <xdr:cNvSpPr>
          <a:spLocks/>
        </xdr:cNvSpPr>
      </xdr:nvSpPr>
      <xdr:spPr>
        <a:xfrm>
          <a:off x="10601325" y="6791325"/>
          <a:ext cx="695325" cy="2305050"/>
        </a:xfrm>
        <a:prstGeom prst="roundRect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0</xdr:row>
      <xdr:rowOff>57150</xdr:rowOff>
    </xdr:from>
    <xdr:to>
      <xdr:col>14</xdr:col>
      <xdr:colOff>638175</xdr:colOff>
      <xdr:row>14</xdr:row>
      <xdr:rowOff>57150</xdr:rowOff>
    </xdr:to>
    <xdr:sp>
      <xdr:nvSpPr>
        <xdr:cNvPr id="7" name="角丸四角形 9"/>
        <xdr:cNvSpPr>
          <a:spLocks/>
        </xdr:cNvSpPr>
      </xdr:nvSpPr>
      <xdr:spPr>
        <a:xfrm>
          <a:off x="13354050" y="57150"/>
          <a:ext cx="590550" cy="5619750"/>
        </a:xfrm>
        <a:prstGeom prst="roundRect">
          <a:avLst/>
        </a:prstGeom>
        <a:noFill/>
        <a:ln w="571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8</xdr:row>
      <xdr:rowOff>161925</xdr:rowOff>
    </xdr:from>
    <xdr:to>
      <xdr:col>20</xdr:col>
      <xdr:colOff>123825</xdr:colOff>
      <xdr:row>10</xdr:row>
      <xdr:rowOff>47625</xdr:rowOff>
    </xdr:to>
    <xdr:sp>
      <xdr:nvSpPr>
        <xdr:cNvPr id="8" name="四角形吹き出し 8"/>
        <xdr:cNvSpPr>
          <a:spLocks/>
        </xdr:cNvSpPr>
      </xdr:nvSpPr>
      <xdr:spPr>
        <a:xfrm>
          <a:off x="14820900" y="3267075"/>
          <a:ext cx="3171825" cy="723900"/>
        </a:xfrm>
        <a:prstGeom prst="wedgeRectCallout">
          <a:avLst>
            <a:gd name="adj1" fmla="val -76009"/>
            <a:gd name="adj2" fmla="val -61069"/>
          </a:avLst>
        </a:prstGeom>
        <a:solidFill>
          <a:srgbClr val="FFFFFF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列</a:t>
          </a:r>
          <a:r>
            <a:rPr lang="en-US" cap="none" sz="1100" b="0" i="0" u="none" baseline="0">
              <a:solidFill>
                <a:srgbClr val="000000"/>
              </a:solidFill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</a:rPr>
            <a:t>下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黄</a:t>
          </a:r>
          <a:r>
            <a:rPr lang="en-US" cap="none" sz="1100" b="0" i="0" u="none" baseline="0">
              <a:solidFill>
                <a:srgbClr val="000000"/>
              </a:solidFill>
            </a:rPr>
            <a:t>色</a:t>
          </a:r>
          <a:r>
            <a:rPr lang="en-US" cap="none" sz="1100" b="0" i="0" u="none" baseline="0">
              <a:solidFill>
                <a:srgbClr val="000000"/>
              </a:solidFill>
            </a:rPr>
            <a:t>枠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式</a:t>
          </a:r>
          <a:r>
            <a:rPr lang="en-US" cap="none" sz="1100" b="0" i="0" u="none" baseline="0">
              <a:solidFill>
                <a:srgbClr val="000000"/>
              </a:solidFill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</a:rPr>
            <a:t>し</a:t>
          </a:r>
          <a:r>
            <a:rPr lang="en-US" cap="none" sz="1100" b="0" i="0" u="none" baseline="0">
              <a:solidFill>
                <a:srgbClr val="000000"/>
              </a:solidFill>
            </a:rPr>
            <a:t>た</a:t>
          </a:r>
          <a:r>
            <a:rPr lang="en-US" cap="none" sz="1100" b="0" i="0" u="none" baseline="0">
              <a:solidFill>
                <a:srgbClr val="000000"/>
              </a:solidFill>
            </a:rPr>
            <a:t>調</a:t>
          </a:r>
          <a:r>
            <a:rPr lang="en-US" cap="none" sz="1100" b="0" i="0" u="none" baseline="0">
              <a:solidFill>
                <a:srgbClr val="000000"/>
              </a:solidFill>
            </a:rPr>
            <a:t>べ</a:t>
          </a:r>
          <a:r>
            <a:rPr lang="en-US" cap="none" sz="1100" b="0" i="0" u="none" baseline="0">
              <a:solidFill>
                <a:srgbClr val="000000"/>
              </a:solidFill>
            </a:rPr>
            <a:t>学</a:t>
          </a:r>
          <a:r>
            <a:rPr lang="en-US" cap="none" sz="1100" b="0" i="0" u="none" baseline="0">
              <a:solidFill>
                <a:srgbClr val="000000"/>
              </a:solidFill>
            </a:rPr>
            <a:t>習</a:t>
          </a:r>
          <a:r>
            <a:rPr lang="en-US" cap="none" sz="1100" b="0" i="0" u="none" baseline="0">
              <a:solidFill>
                <a:srgbClr val="000000"/>
              </a:solidFill>
            </a:rPr>
            <a:t>テ</a:t>
          </a:r>
          <a:r>
            <a:rPr lang="en-US" cap="none" sz="1100" b="0" i="0" u="none" baseline="0">
              <a:solidFill>
                <a:srgbClr val="000000"/>
              </a:solidFill>
            </a:rPr>
            <a:t>ー</a:t>
          </a:r>
          <a:r>
            <a:rPr lang="en-US" cap="none" sz="1100" b="0" i="0" u="none" baseline="0">
              <a:solidFill>
                <a:srgbClr val="000000"/>
              </a:solidFill>
            </a:rPr>
            <a:t>マ</a:t>
          </a:r>
          <a:r>
            <a:rPr lang="en-US" cap="none" sz="1100" b="0" i="0" u="none" baseline="0">
              <a:solidFill>
                <a:srgbClr val="000000"/>
              </a:solidFill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</a:rPr>
            <a:t>力</a:t>
          </a:r>
          <a:r>
            <a:rPr lang="en-US" cap="none" sz="1100" b="0" i="0" u="none" baseline="0">
              <a:solidFill>
                <a:srgbClr val="000000"/>
              </a:solidFill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</a:rPr>
            <a:t>る</a:t>
          </a:r>
          <a:r>
            <a:rPr lang="en-US" cap="none" sz="1100" b="0" i="0" u="none" baseline="0">
              <a:solidFill>
                <a:srgbClr val="000000"/>
              </a:solidFill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調</a:t>
          </a:r>
          <a:r>
            <a:rPr lang="en-US" cap="none" sz="1100" b="0" i="0" u="none" baseline="0">
              <a:solidFill>
                <a:srgbClr val="000000"/>
              </a:solidFill>
            </a:rPr>
            <a:t>べ</a:t>
          </a:r>
          <a:r>
            <a:rPr lang="en-US" cap="none" sz="1100" b="0" i="0" u="none" baseline="0">
              <a:solidFill>
                <a:srgbClr val="000000"/>
              </a:solidFill>
            </a:rPr>
            <a:t>学</a:t>
          </a:r>
          <a:r>
            <a:rPr lang="en-US" cap="none" sz="1100" b="0" i="0" u="none" baseline="0">
              <a:solidFill>
                <a:srgbClr val="000000"/>
              </a:solidFill>
            </a:rPr>
            <a:t>習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購</a:t>
          </a:r>
          <a:r>
            <a:rPr lang="en-US" cap="none" sz="1100" b="0" i="0" u="none" baseline="0">
              <a:solidFill>
                <a:srgbClr val="000000"/>
              </a:solidFill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</a:rPr>
            <a:t>冊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</a:rPr>
            <a:t>動</a:t>
          </a:r>
          <a:r>
            <a:rPr lang="en-US" cap="none" sz="1100" b="0" i="0" u="none" baseline="0">
              <a:solidFill>
                <a:srgbClr val="000000"/>
              </a:solidFill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</a:rPr>
            <a:t>れ</a:t>
          </a:r>
          <a:r>
            <a:rPr lang="en-US" cap="none" sz="1100" b="0" i="0" u="none" baseline="0">
              <a:solidFill>
                <a:srgbClr val="000000"/>
              </a:solidFill>
            </a:rPr>
            <a:t>る</a:t>
          </a:r>
        </a:p>
      </xdr:txBody>
    </xdr:sp>
    <xdr:clientData/>
  </xdr:twoCellAnchor>
  <xdr:twoCellAnchor>
    <xdr:from>
      <xdr:col>3</xdr:col>
      <xdr:colOff>47625</xdr:colOff>
      <xdr:row>34</xdr:row>
      <xdr:rowOff>114300</xdr:rowOff>
    </xdr:from>
    <xdr:to>
      <xdr:col>4</xdr:col>
      <xdr:colOff>76200</xdr:colOff>
      <xdr:row>48</xdr:row>
      <xdr:rowOff>85725</xdr:rowOff>
    </xdr:to>
    <xdr:sp>
      <xdr:nvSpPr>
        <xdr:cNvPr id="9" name="角丸四角形 11"/>
        <xdr:cNvSpPr>
          <a:spLocks/>
        </xdr:cNvSpPr>
      </xdr:nvSpPr>
      <xdr:spPr>
        <a:xfrm>
          <a:off x="6353175" y="9182100"/>
          <a:ext cx="723900" cy="2371725"/>
        </a:xfrm>
        <a:prstGeom prst="roundRect">
          <a:avLst/>
        </a:prstGeom>
        <a:noFill/>
        <a:ln w="571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35</xdr:row>
      <xdr:rowOff>142875</xdr:rowOff>
    </xdr:from>
    <xdr:to>
      <xdr:col>17</xdr:col>
      <xdr:colOff>85725</xdr:colOff>
      <xdr:row>44</xdr:row>
      <xdr:rowOff>38100</xdr:rowOff>
    </xdr:to>
    <xdr:sp>
      <xdr:nvSpPr>
        <xdr:cNvPr id="10" name="四角形吹き出し 10"/>
        <xdr:cNvSpPr>
          <a:spLocks/>
        </xdr:cNvSpPr>
      </xdr:nvSpPr>
      <xdr:spPr>
        <a:xfrm>
          <a:off x="10382250" y="9382125"/>
          <a:ext cx="5133975" cy="1438275"/>
        </a:xfrm>
        <a:prstGeom prst="wedgeRectCallout">
          <a:avLst>
            <a:gd name="adj1" fmla="val -114273"/>
            <a:gd name="adj2" fmla="val -29375"/>
          </a:avLst>
        </a:prstGeom>
        <a:solidFill>
          <a:srgbClr val="FFFFFF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セ</a:t>
          </a:r>
          <a:r>
            <a:rPr lang="en-US" cap="none" sz="1100" b="0" i="0" u="none" baseline="0">
              <a:solidFill>
                <a:srgbClr val="000000"/>
              </a:solidFill>
            </a:rPr>
            <a:t>ル</a:t>
          </a:r>
          <a:r>
            <a:rPr lang="en-US" cap="none" sz="1100" b="0" i="0" u="none" baseline="0">
              <a:solidFill>
                <a:srgbClr val="000000"/>
              </a:solidFill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=COUNTIF(O2:O14,"</a:t>
          </a:r>
          <a:r>
            <a:rPr lang="en-US" cap="none" sz="1100" b="0" i="0" u="none" baseline="0">
              <a:solidFill>
                <a:srgbClr val="000000"/>
              </a:solidFill>
            </a:rPr>
            <a:t>△</a:t>
          </a:r>
          <a:r>
            <a:rPr lang="en-US" cap="none" sz="1100" b="0" i="0" u="none" baseline="0">
              <a:solidFill>
                <a:srgbClr val="000000"/>
              </a:solidFill>
            </a:rPr>
            <a:t>△</a:t>
          </a:r>
          <a:r>
            <a:rPr lang="en-US" cap="none" sz="1100" b="0" i="0" u="none" baseline="0">
              <a:solidFill>
                <a:srgbClr val="000000"/>
              </a:solidFill>
            </a:rPr>
            <a:t>△</a:t>
          </a:r>
          <a:r>
            <a:rPr lang="en-US" cap="none" sz="1100" b="0" i="0" u="none" baseline="0">
              <a:solidFill>
                <a:srgbClr val="000000"/>
              </a:solidFill>
            </a:rPr>
            <a:t>")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</a:rPr>
            <a:t>い</a:t>
          </a:r>
          <a:r>
            <a:rPr lang="en-US" cap="none" sz="1100" b="0" i="0" u="none" baseline="0">
              <a:solidFill>
                <a:srgbClr val="000000"/>
              </a:solidFill>
            </a:rPr>
            <a:t>う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式</a:t>
          </a:r>
          <a:r>
            <a:rPr lang="en-US" cap="none" sz="1100" b="0" i="0" u="none" baseline="0">
              <a:solidFill>
                <a:srgbClr val="000000"/>
              </a:solidFill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</a:rPr>
            <a:t>っ</a:t>
          </a:r>
          <a:r>
            <a:rPr lang="en-US" cap="none" sz="1100" b="0" i="0" u="none" baseline="0">
              <a:solidFill>
                <a:srgbClr val="000000"/>
              </a:solidFill>
            </a:rPr>
            <a:t>て</a:t>
          </a:r>
          <a:r>
            <a:rPr lang="en-US" cap="none" sz="1100" b="0" i="0" u="none" baseline="0">
              <a:solidFill>
                <a:srgbClr val="000000"/>
              </a:solidFill>
            </a:rPr>
            <a:t>い</a:t>
          </a:r>
          <a:r>
            <a:rPr lang="en-US" cap="none" sz="1100" b="0" i="0" u="none" baseline="0">
              <a:solidFill>
                <a:srgbClr val="000000"/>
              </a:solidFill>
            </a:rPr>
            <a:t>る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△</a:t>
          </a:r>
          <a:r>
            <a:rPr lang="en-US" cap="none" sz="1100" b="0" i="0" u="none" baseline="0">
              <a:solidFill>
                <a:srgbClr val="000000"/>
              </a:solidFill>
            </a:rPr>
            <a:t>△</a:t>
          </a:r>
          <a:r>
            <a:rPr lang="en-US" cap="none" sz="1100" b="0" i="0" u="none" baseline="0">
              <a:solidFill>
                <a:srgbClr val="000000"/>
              </a:solidFill>
            </a:rPr>
            <a:t>△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</a:rPr>
            <a:t>調</a:t>
          </a:r>
          <a:r>
            <a:rPr lang="en-US" cap="none" sz="1100" b="0" i="0" u="none" baseline="0">
              <a:solidFill>
                <a:srgbClr val="000000"/>
              </a:solidFill>
            </a:rPr>
            <a:t>べ</a:t>
          </a:r>
          <a:r>
            <a:rPr lang="en-US" cap="none" sz="1100" b="0" i="0" u="none" baseline="0">
              <a:solidFill>
                <a:srgbClr val="000000"/>
              </a:solidFill>
            </a:rPr>
            <a:t>学</a:t>
          </a:r>
          <a:r>
            <a:rPr lang="en-US" cap="none" sz="1100" b="0" i="0" u="none" baseline="0">
              <a:solidFill>
                <a:srgbClr val="000000"/>
              </a:solidFill>
            </a:rPr>
            <a:t>習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テ</a:t>
          </a:r>
          <a:r>
            <a:rPr lang="en-US" cap="none" sz="1100" b="0" i="0" u="none" baseline="0">
              <a:solidFill>
                <a:srgbClr val="000000"/>
              </a:solidFill>
            </a:rPr>
            <a:t>ー</a:t>
          </a:r>
          <a:r>
            <a:rPr lang="en-US" cap="none" sz="1100" b="0" i="0" u="none" baseline="0">
              <a:solidFill>
                <a:srgbClr val="000000"/>
              </a:solidFill>
            </a:rPr>
            <a:t>マ</a:t>
          </a:r>
          <a:r>
            <a:rPr lang="en-US" cap="none" sz="1100" b="0" i="0" u="none" baseline="0">
              <a:solidFill>
                <a:srgbClr val="000000"/>
              </a:solidFill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</a:rPr>
            <a:t>力</a:t>
          </a:r>
          <a:r>
            <a:rPr lang="en-US" cap="none" sz="1100" b="0" i="0" u="none" baseline="0">
              <a:solidFill>
                <a:srgbClr val="000000"/>
              </a:solidFill>
            </a:rPr>
            <a:t>し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</a:rPr>
            <a:t>列</a:t>
          </a:r>
          <a:r>
            <a:rPr lang="en-US" cap="none" sz="1100" b="0" i="0" u="none" baseline="0">
              <a:solidFill>
                <a:srgbClr val="000000"/>
              </a:solidFill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</a:rPr>
            <a:t>同</a:t>
          </a:r>
          <a:r>
            <a:rPr lang="en-US" cap="none" sz="1100" b="0" i="0" u="none" baseline="0">
              <a:solidFill>
                <a:srgbClr val="000000"/>
              </a:solidFill>
            </a:rPr>
            <a:t>じ</a:t>
          </a:r>
          <a:r>
            <a:rPr lang="en-US" cap="none" sz="1100" b="0" i="0" u="none" baseline="0">
              <a:solidFill>
                <a:srgbClr val="000000"/>
              </a:solidFill>
            </a:rPr>
            <a:t>テ</a:t>
          </a:r>
          <a:r>
            <a:rPr lang="en-US" cap="none" sz="1100" b="0" i="0" u="none" baseline="0">
              <a:solidFill>
                <a:srgbClr val="000000"/>
              </a:solidFill>
            </a:rPr>
            <a:t>ー</a:t>
          </a:r>
          <a:r>
            <a:rPr lang="en-US" cap="none" sz="1100" b="0" i="0" u="none" baseline="0">
              <a:solidFill>
                <a:srgbClr val="000000"/>
              </a:solidFill>
            </a:rPr>
            <a:t>マ</a:t>
          </a:r>
          <a:r>
            <a:rPr lang="en-US" cap="none" sz="1100" b="0" i="0" u="none" baseline="0">
              <a:solidFill>
                <a:srgbClr val="000000"/>
              </a:solidFill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</a:rPr>
            <a:t>力</a:t>
          </a:r>
          <a:r>
            <a:rPr lang="en-US" cap="none" sz="1100" b="0" i="0" u="none" baseline="0">
              <a:solidFill>
                <a:srgbClr val="000000"/>
              </a:solidFill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</a:rPr>
            <a:t>る</a:t>
          </a:r>
          <a:r>
            <a:rPr lang="en-US" cap="none" sz="1100" b="0" i="0" u="none" baseline="0">
              <a:solidFill>
                <a:srgbClr val="000000"/>
              </a:solidFill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調</a:t>
          </a:r>
          <a:r>
            <a:rPr lang="en-US" cap="none" sz="1100" b="0" i="0" u="none" baseline="0">
              <a:solidFill>
                <a:srgbClr val="000000"/>
              </a:solidFill>
            </a:rPr>
            <a:t>べ</a:t>
          </a:r>
          <a:r>
            <a:rPr lang="en-US" cap="none" sz="1100" b="0" i="0" u="none" baseline="0">
              <a:solidFill>
                <a:srgbClr val="000000"/>
              </a:solidFill>
            </a:rPr>
            <a:t>学</a:t>
          </a:r>
          <a:r>
            <a:rPr lang="en-US" cap="none" sz="1100" b="0" i="0" u="none" baseline="0">
              <a:solidFill>
                <a:srgbClr val="000000"/>
              </a:solidFill>
            </a:rPr>
            <a:t>習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購</a:t>
          </a:r>
          <a:r>
            <a:rPr lang="en-US" cap="none" sz="1100" b="0" i="0" u="none" baseline="0">
              <a:solidFill>
                <a:srgbClr val="000000"/>
              </a:solidFill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</a:rPr>
            <a:t>冊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</a:rPr>
            <a:t>動</a:t>
          </a:r>
          <a:r>
            <a:rPr lang="en-US" cap="none" sz="1100" b="0" i="0" u="none" baseline="0">
              <a:solidFill>
                <a:srgbClr val="000000"/>
              </a:solidFill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</a:rPr>
            <a:t>れ</a:t>
          </a:r>
          <a:r>
            <a:rPr lang="en-US" cap="none" sz="1100" b="0" i="0" u="none" baseline="0">
              <a:solidFill>
                <a:srgbClr val="000000"/>
              </a:solidFill>
            </a:rPr>
            <a:t>る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9"/>
  <sheetViews>
    <sheetView zoomScale="85" zoomScaleNormal="85" zoomScalePageLayoutView="0" workbookViewId="0" topLeftCell="A1">
      <selection activeCell="B15" sqref="B15"/>
    </sheetView>
  </sheetViews>
  <sheetFormatPr defaultColWidth="9.00390625" defaultRowHeight="13.5"/>
  <cols>
    <col min="1" max="1" width="44.625" style="7" customWidth="1"/>
    <col min="2" max="2" width="32.125" style="7" customWidth="1"/>
    <col min="3" max="3" width="9.50390625" style="7" customWidth="1"/>
    <col min="4" max="4" width="11.125" style="7" customWidth="1"/>
    <col min="5" max="5" width="5.50390625" style="7" customWidth="1"/>
    <col min="6" max="7" width="10.125" style="8" customWidth="1"/>
    <col min="8" max="8" width="8.125" style="7" bestFit="1" customWidth="1"/>
    <col min="9" max="16384" width="9.00390625" style="7" customWidth="1"/>
  </cols>
  <sheetData>
    <row r="1" spans="1:8" ht="24">
      <c r="A1" s="105" t="s">
        <v>187</v>
      </c>
      <c r="B1" s="106"/>
      <c r="C1" s="106"/>
      <c r="D1" s="106"/>
      <c r="E1" s="106"/>
      <c r="F1" s="106"/>
      <c r="G1" s="106"/>
      <c r="H1" s="106"/>
    </row>
    <row r="2" ht="8.25" customHeight="1">
      <c r="E2" s="28"/>
    </row>
    <row r="3" spans="1:8" ht="16.5">
      <c r="A3" s="13"/>
      <c r="B3" s="13"/>
      <c r="C3" s="13"/>
      <c r="D3" s="13"/>
      <c r="E3" s="29"/>
      <c r="F3" s="15" t="s">
        <v>188</v>
      </c>
      <c r="G3" s="107">
        <v>42433</v>
      </c>
      <c r="H3" s="107"/>
    </row>
    <row r="4" spans="1:5" ht="20.25" customHeight="1">
      <c r="A4" s="56" t="s">
        <v>192</v>
      </c>
      <c r="B4" s="9"/>
      <c r="E4" s="28"/>
    </row>
    <row r="5" spans="1:6" ht="15">
      <c r="A5" s="14" t="s">
        <v>193</v>
      </c>
      <c r="B5" s="9"/>
      <c r="C5" s="10"/>
      <c r="E5" s="28"/>
      <c r="F5" s="14"/>
    </row>
    <row r="6" spans="1:6" ht="15">
      <c r="A6" s="12"/>
      <c r="B6" s="14"/>
      <c r="C6" s="14"/>
      <c r="D6" s="14"/>
      <c r="E6" s="28"/>
      <c r="F6" s="14" t="s">
        <v>78</v>
      </c>
    </row>
    <row r="7" spans="1:6" ht="15">
      <c r="A7" s="9" t="s">
        <v>47</v>
      </c>
      <c r="F7" s="11" t="s">
        <v>48</v>
      </c>
    </row>
    <row r="8" spans="1:8" s="1" customFormat="1" ht="13.5">
      <c r="A8" s="5" t="s">
        <v>38</v>
      </c>
      <c r="B8" s="5" t="s">
        <v>39</v>
      </c>
      <c r="C8" s="5" t="s">
        <v>49</v>
      </c>
      <c r="D8" s="5" t="s">
        <v>189</v>
      </c>
      <c r="E8" s="5" t="s">
        <v>40</v>
      </c>
      <c r="F8" s="6" t="s">
        <v>42</v>
      </c>
      <c r="G8" s="6" t="s">
        <v>43</v>
      </c>
      <c r="H8" s="5" t="s">
        <v>44</v>
      </c>
    </row>
    <row r="9" spans="1:9" ht="33" customHeight="1">
      <c r="A9" s="4" t="s">
        <v>426</v>
      </c>
      <c r="B9" s="4" t="s">
        <v>427</v>
      </c>
      <c r="C9" s="104" t="s">
        <v>428</v>
      </c>
      <c r="D9" s="4" t="s">
        <v>429</v>
      </c>
      <c r="E9" s="4">
        <v>1</v>
      </c>
      <c r="F9" s="3">
        <v>2300</v>
      </c>
      <c r="G9" s="3">
        <v>2484</v>
      </c>
      <c r="H9" s="4"/>
      <c r="I9" s="55"/>
    </row>
    <row r="10" spans="1:9" ht="33" customHeight="1">
      <c r="A10" s="4" t="s">
        <v>426</v>
      </c>
      <c r="B10" s="4" t="s">
        <v>427</v>
      </c>
      <c r="C10" s="104" t="s">
        <v>428</v>
      </c>
      <c r="D10" s="4" t="s">
        <v>429</v>
      </c>
      <c r="E10" s="4">
        <v>1</v>
      </c>
      <c r="F10" s="3">
        <v>2300</v>
      </c>
      <c r="G10" s="3">
        <v>2484</v>
      </c>
      <c r="H10" s="4" t="s">
        <v>435</v>
      </c>
      <c r="I10" s="55"/>
    </row>
    <row r="11" spans="1:9" ht="33" customHeight="1">
      <c r="A11" s="58" t="s">
        <v>430</v>
      </c>
      <c r="B11" s="4" t="s">
        <v>51</v>
      </c>
      <c r="C11" s="18" t="s">
        <v>431</v>
      </c>
      <c r="D11" s="18" t="s">
        <v>51</v>
      </c>
      <c r="E11" s="4">
        <v>1</v>
      </c>
      <c r="F11" s="3">
        <v>3500</v>
      </c>
      <c r="G11" s="3">
        <v>3780</v>
      </c>
      <c r="H11" s="4"/>
      <c r="I11" s="55"/>
    </row>
    <row r="12" spans="1:9" ht="33" customHeight="1">
      <c r="A12" s="4" t="s">
        <v>432</v>
      </c>
      <c r="B12" s="4" t="s">
        <v>433</v>
      </c>
      <c r="C12" s="18" t="s">
        <v>434</v>
      </c>
      <c r="D12" s="4" t="s">
        <v>51</v>
      </c>
      <c r="E12" s="4">
        <v>1</v>
      </c>
      <c r="F12" s="3">
        <v>3500</v>
      </c>
      <c r="G12" s="3">
        <v>3780</v>
      </c>
      <c r="H12" s="4"/>
      <c r="I12" s="55"/>
    </row>
    <row r="13" spans="1:9" ht="33" customHeight="1">
      <c r="A13" s="4" t="s">
        <v>241</v>
      </c>
      <c r="B13" s="4" t="s">
        <v>239</v>
      </c>
      <c r="C13" s="18" t="s">
        <v>436</v>
      </c>
      <c r="D13" s="4" t="s">
        <v>240</v>
      </c>
      <c r="E13" s="4">
        <v>1</v>
      </c>
      <c r="F13" s="3">
        <v>9250</v>
      </c>
      <c r="G13" s="3">
        <v>9990</v>
      </c>
      <c r="H13" s="4" t="s">
        <v>435</v>
      </c>
      <c r="I13" s="55"/>
    </row>
    <row r="14" spans="1:9" ht="33" customHeight="1">
      <c r="A14" s="4" t="s">
        <v>241</v>
      </c>
      <c r="B14" s="4" t="s">
        <v>239</v>
      </c>
      <c r="C14" s="18" t="s">
        <v>436</v>
      </c>
      <c r="D14" s="4" t="s">
        <v>240</v>
      </c>
      <c r="E14" s="4">
        <v>1</v>
      </c>
      <c r="F14" s="3">
        <v>9250</v>
      </c>
      <c r="G14" s="3">
        <v>9990</v>
      </c>
      <c r="H14" s="4" t="s">
        <v>435</v>
      </c>
      <c r="I14" s="55"/>
    </row>
    <row r="15" spans="1:9" ht="33" customHeight="1">
      <c r="A15" s="4"/>
      <c r="B15" s="4"/>
      <c r="C15" s="18"/>
      <c r="D15" s="4"/>
      <c r="E15" s="2"/>
      <c r="F15" s="52"/>
      <c r="G15" s="52"/>
      <c r="H15" s="4"/>
      <c r="I15" s="55"/>
    </row>
    <row r="16" spans="1:9" ht="33" customHeight="1">
      <c r="A16" s="4"/>
      <c r="B16" s="4"/>
      <c r="C16" s="18"/>
      <c r="D16" s="4"/>
      <c r="E16" s="4"/>
      <c r="F16" s="3"/>
      <c r="G16" s="3"/>
      <c r="H16" s="4"/>
      <c r="I16" s="55"/>
    </row>
    <row r="17" spans="1:9" ht="33" customHeight="1">
      <c r="A17" s="4"/>
      <c r="B17" s="4"/>
      <c r="C17" s="18"/>
      <c r="D17" s="4"/>
      <c r="E17" s="4"/>
      <c r="F17" s="3"/>
      <c r="G17" s="3"/>
      <c r="H17" s="4"/>
      <c r="I17" s="55"/>
    </row>
    <row r="18" spans="1:9" ht="33" customHeight="1">
      <c r="A18" s="4"/>
      <c r="B18" s="4"/>
      <c r="C18" s="18"/>
      <c r="D18" s="4"/>
      <c r="E18" s="4"/>
      <c r="F18" s="3"/>
      <c r="G18" s="3"/>
      <c r="H18" s="4"/>
      <c r="I18" s="55"/>
    </row>
    <row r="19" spans="1:9" ht="33" customHeight="1">
      <c r="A19" s="4"/>
      <c r="B19" s="4"/>
      <c r="C19" s="18"/>
      <c r="D19" s="4"/>
      <c r="E19" s="4"/>
      <c r="F19" s="3"/>
      <c r="G19" s="3"/>
      <c r="H19" s="4"/>
      <c r="I19" s="55"/>
    </row>
    <row r="20" spans="1:9" ht="33" customHeight="1">
      <c r="A20" s="4"/>
      <c r="B20" s="4"/>
      <c r="C20" s="18"/>
      <c r="D20" s="4"/>
      <c r="E20" s="4"/>
      <c r="F20" s="3"/>
      <c r="G20" s="3"/>
      <c r="H20" s="4"/>
      <c r="I20" s="55"/>
    </row>
    <row r="21" spans="1:9" ht="33" customHeight="1">
      <c r="A21" s="4"/>
      <c r="B21" s="4"/>
      <c r="C21" s="18"/>
      <c r="D21" s="4"/>
      <c r="E21" s="4"/>
      <c r="F21" s="3"/>
      <c r="G21" s="3"/>
      <c r="H21" s="4"/>
      <c r="I21" s="55"/>
    </row>
    <row r="22" spans="1:9" ht="33" customHeight="1">
      <c r="A22" s="4"/>
      <c r="B22" s="4"/>
      <c r="C22" s="18"/>
      <c r="D22" s="4"/>
      <c r="E22" s="4"/>
      <c r="F22" s="3"/>
      <c r="G22" s="3"/>
      <c r="H22" s="4"/>
      <c r="I22" s="55"/>
    </row>
    <row r="23" spans="1:9" ht="33" customHeight="1">
      <c r="A23" s="4"/>
      <c r="B23" s="4"/>
      <c r="C23" s="18"/>
      <c r="D23" s="4"/>
      <c r="E23" s="4"/>
      <c r="F23" s="3"/>
      <c r="G23" s="3"/>
      <c r="H23" s="4"/>
      <c r="I23" s="55"/>
    </row>
    <row r="24" spans="1:9" ht="33" customHeight="1">
      <c r="A24" s="4"/>
      <c r="B24" s="4"/>
      <c r="C24" s="18"/>
      <c r="D24" s="4"/>
      <c r="E24" s="4"/>
      <c r="F24" s="3"/>
      <c r="G24" s="3"/>
      <c r="H24" s="4"/>
      <c r="I24" s="55"/>
    </row>
    <row r="25" spans="1:9" ht="33" customHeight="1">
      <c r="A25" s="4"/>
      <c r="B25" s="4"/>
      <c r="C25" s="18"/>
      <c r="D25" s="4"/>
      <c r="E25" s="2"/>
      <c r="F25" s="52"/>
      <c r="G25" s="52"/>
      <c r="H25" s="4"/>
      <c r="I25" s="55"/>
    </row>
    <row r="26" spans="1:9" ht="33" customHeight="1">
      <c r="A26" s="4"/>
      <c r="B26" s="4"/>
      <c r="C26" s="18"/>
      <c r="D26" s="4"/>
      <c r="E26" s="4"/>
      <c r="F26" s="3"/>
      <c r="G26" s="3"/>
      <c r="H26" s="4"/>
      <c r="I26" s="55"/>
    </row>
    <row r="27" spans="1:9" ht="33" customHeight="1">
      <c r="A27" s="4"/>
      <c r="B27" s="4"/>
      <c r="C27" s="18"/>
      <c r="D27" s="4"/>
      <c r="E27" s="4"/>
      <c r="F27" s="3"/>
      <c r="G27" s="3"/>
      <c r="H27" s="4"/>
      <c r="I27" s="55"/>
    </row>
    <row r="28" spans="1:9" ht="33" customHeight="1">
      <c r="A28" s="4"/>
      <c r="B28" s="4"/>
      <c r="C28" s="18"/>
      <c r="D28" s="4"/>
      <c r="E28" s="4"/>
      <c r="F28" s="3"/>
      <c r="G28" s="3"/>
      <c r="H28" s="4"/>
      <c r="I28" s="55"/>
    </row>
    <row r="29" spans="1:9" ht="33" customHeight="1">
      <c r="A29" s="4"/>
      <c r="B29" s="4"/>
      <c r="C29" s="18"/>
      <c r="D29" s="4"/>
      <c r="E29" s="4"/>
      <c r="F29" s="3"/>
      <c r="G29" s="3"/>
      <c r="H29" s="4"/>
      <c r="I29" s="55"/>
    </row>
    <row r="30" spans="1:9" ht="33" customHeight="1">
      <c r="A30" s="4"/>
      <c r="B30" s="4"/>
      <c r="C30" s="18"/>
      <c r="D30" s="4"/>
      <c r="E30" s="4"/>
      <c r="F30" s="3"/>
      <c r="G30" s="3"/>
      <c r="H30" s="4"/>
      <c r="I30" s="55"/>
    </row>
    <row r="31" spans="1:9" ht="33" customHeight="1">
      <c r="A31" s="4"/>
      <c r="B31" s="4"/>
      <c r="C31" s="18"/>
      <c r="D31" s="4"/>
      <c r="E31" s="4"/>
      <c r="F31" s="3"/>
      <c r="G31" s="3"/>
      <c r="H31" s="4"/>
      <c r="I31" s="55"/>
    </row>
    <row r="32" spans="1:9" ht="33" customHeight="1">
      <c r="A32" s="4"/>
      <c r="B32" s="4"/>
      <c r="C32" s="18"/>
      <c r="D32" s="4"/>
      <c r="E32" s="4"/>
      <c r="F32" s="3"/>
      <c r="G32" s="3"/>
      <c r="H32" s="4"/>
      <c r="I32" s="55"/>
    </row>
    <row r="33" spans="1:9" ht="33" customHeight="1">
      <c r="A33" s="4"/>
      <c r="B33" s="4"/>
      <c r="C33" s="18"/>
      <c r="D33" s="4"/>
      <c r="E33" s="4"/>
      <c r="F33" s="3"/>
      <c r="G33" s="3"/>
      <c r="H33" s="4"/>
      <c r="I33" s="55"/>
    </row>
    <row r="34" spans="1:9" ht="33" customHeight="1">
      <c r="A34" s="4"/>
      <c r="B34" s="4"/>
      <c r="C34" s="18"/>
      <c r="D34" s="4"/>
      <c r="E34" s="4"/>
      <c r="F34" s="3"/>
      <c r="G34" s="3"/>
      <c r="H34" s="4"/>
      <c r="I34" s="55"/>
    </row>
    <row r="35" spans="1:9" ht="33" customHeight="1">
      <c r="A35" s="4"/>
      <c r="B35" s="4"/>
      <c r="C35" s="18"/>
      <c r="D35" s="4"/>
      <c r="E35" s="4"/>
      <c r="F35" s="3"/>
      <c r="G35" s="3"/>
      <c r="H35" s="4"/>
      <c r="I35" s="55"/>
    </row>
    <row r="36" spans="1:9" ht="33" customHeight="1">
      <c r="A36" s="4"/>
      <c r="B36" s="4"/>
      <c r="C36" s="18"/>
      <c r="D36" s="4"/>
      <c r="E36" s="4"/>
      <c r="F36" s="3"/>
      <c r="G36" s="3"/>
      <c r="H36" s="4"/>
      <c r="I36" s="55"/>
    </row>
    <row r="37" spans="1:9" ht="33" customHeight="1">
      <c r="A37" s="4"/>
      <c r="B37" s="4"/>
      <c r="C37" s="18"/>
      <c r="D37" s="4"/>
      <c r="E37" s="4"/>
      <c r="F37" s="3"/>
      <c r="G37" s="3"/>
      <c r="H37" s="4"/>
      <c r="I37" s="55"/>
    </row>
    <row r="38" spans="1:9" ht="33" customHeight="1">
      <c r="A38" s="4"/>
      <c r="B38" s="4"/>
      <c r="C38" s="18"/>
      <c r="D38" s="4"/>
      <c r="E38" s="4"/>
      <c r="F38" s="3"/>
      <c r="G38" s="3"/>
      <c r="H38" s="4"/>
      <c r="I38" s="55"/>
    </row>
    <row r="39" spans="1:9" ht="33" customHeight="1">
      <c r="A39" s="4"/>
      <c r="B39" s="4"/>
      <c r="C39" s="18"/>
      <c r="D39" s="4"/>
      <c r="E39" s="4"/>
      <c r="F39" s="3"/>
      <c r="G39" s="3"/>
      <c r="H39" s="4"/>
      <c r="I39" s="55"/>
    </row>
    <row r="40" spans="1:9" ht="33" customHeight="1">
      <c r="A40" s="4"/>
      <c r="B40" s="4"/>
      <c r="C40" s="18"/>
      <c r="D40" s="4"/>
      <c r="E40" s="4"/>
      <c r="F40" s="3"/>
      <c r="G40" s="3"/>
      <c r="H40" s="4"/>
      <c r="I40" s="55"/>
    </row>
    <row r="41" spans="1:8" ht="13.5">
      <c r="A41" s="16"/>
      <c r="B41" s="16"/>
      <c r="C41" s="20"/>
      <c r="D41" s="16"/>
      <c r="E41" s="16"/>
      <c r="F41" s="17"/>
      <c r="G41" s="17"/>
      <c r="H41" s="16"/>
    </row>
    <row r="43" spans="3:8" ht="15" thickBot="1">
      <c r="C43" s="21"/>
      <c r="D43" s="57" t="s">
        <v>45</v>
      </c>
      <c r="E43" s="21">
        <f>SUM(E9:E42)</f>
        <v>6</v>
      </c>
      <c r="F43" s="21" t="s">
        <v>46</v>
      </c>
      <c r="G43" s="22">
        <f>SUM(G9:G42)</f>
        <v>32508</v>
      </c>
      <c r="H43" s="23"/>
    </row>
    <row r="47" ht="13.5">
      <c r="F47" s="101"/>
    </row>
    <row r="49" ht="13.5">
      <c r="F49" s="101"/>
    </row>
  </sheetData>
  <sheetProtection/>
  <mergeCells count="2">
    <mergeCell ref="A1:H1"/>
    <mergeCell ref="G3:H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/>
  <headerFooter alignWithMargins="0">
    <oddFooter>&amp;L桜井谷東小学校&amp;C&amp;P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29"/>
  <sheetViews>
    <sheetView zoomScale="85" zoomScaleNormal="85" zoomScalePageLayoutView="0" workbookViewId="0" topLeftCell="A1">
      <selection activeCell="A19" sqref="A19"/>
    </sheetView>
  </sheetViews>
  <sheetFormatPr defaultColWidth="9.00390625" defaultRowHeight="13.5"/>
  <cols>
    <col min="1" max="1" width="44.625" style="7" customWidth="1"/>
    <col min="2" max="2" width="32.125" style="7" customWidth="1"/>
    <col min="3" max="3" width="9.50390625" style="7" customWidth="1"/>
    <col min="4" max="4" width="11.125" style="7" customWidth="1"/>
    <col min="5" max="5" width="5.50390625" style="7" customWidth="1"/>
    <col min="6" max="7" width="10.125" style="8" customWidth="1"/>
    <col min="8" max="8" width="8.125" style="7" bestFit="1" customWidth="1"/>
    <col min="9" max="16384" width="9.00390625" style="7" customWidth="1"/>
  </cols>
  <sheetData>
    <row r="1" spans="1:8" ht="24">
      <c r="A1" s="105" t="s">
        <v>187</v>
      </c>
      <c r="B1" s="106"/>
      <c r="C1" s="106"/>
      <c r="D1" s="106"/>
      <c r="E1" s="106"/>
      <c r="F1" s="106"/>
      <c r="G1" s="106"/>
      <c r="H1" s="106"/>
    </row>
    <row r="2" ht="8.25" customHeight="1">
      <c r="E2" s="28"/>
    </row>
    <row r="3" spans="1:8" ht="16.5">
      <c r="A3" s="13"/>
      <c r="B3" s="13"/>
      <c r="C3" s="13"/>
      <c r="D3" s="13"/>
      <c r="E3" s="29"/>
      <c r="F3" s="15" t="s">
        <v>188</v>
      </c>
      <c r="G3" s="107">
        <v>42135</v>
      </c>
      <c r="H3" s="107"/>
    </row>
    <row r="4" spans="1:5" ht="20.25" customHeight="1">
      <c r="A4" s="56" t="s">
        <v>192</v>
      </c>
      <c r="B4" s="9"/>
      <c r="E4" s="28"/>
    </row>
    <row r="5" spans="1:6" ht="15">
      <c r="A5" s="14" t="s">
        <v>193</v>
      </c>
      <c r="B5" s="9"/>
      <c r="C5" s="10"/>
      <c r="E5" s="28"/>
      <c r="F5" s="14"/>
    </row>
    <row r="6" spans="1:6" ht="15">
      <c r="A6" s="12"/>
      <c r="B6" s="14"/>
      <c r="C6" s="14"/>
      <c r="D6" s="14"/>
      <c r="E6" s="28"/>
      <c r="F6" s="14" t="s">
        <v>78</v>
      </c>
    </row>
    <row r="7" spans="1:6" ht="15">
      <c r="A7" s="9" t="s">
        <v>47</v>
      </c>
      <c r="F7" s="11" t="s">
        <v>48</v>
      </c>
    </row>
    <row r="8" spans="1:8" s="1" customFormat="1" ht="13.5">
      <c r="A8" s="5" t="s">
        <v>38</v>
      </c>
      <c r="B8" s="5" t="s">
        <v>39</v>
      </c>
      <c r="C8" s="5" t="s">
        <v>49</v>
      </c>
      <c r="D8" s="5" t="s">
        <v>189</v>
      </c>
      <c r="E8" s="5" t="s">
        <v>40</v>
      </c>
      <c r="F8" s="6" t="s">
        <v>42</v>
      </c>
      <c r="G8" s="6" t="s">
        <v>43</v>
      </c>
      <c r="H8" s="5" t="s">
        <v>44</v>
      </c>
    </row>
    <row r="9" spans="1:9" ht="33" customHeight="1">
      <c r="A9" s="4"/>
      <c r="B9" s="4"/>
      <c r="C9" s="18"/>
      <c r="D9" s="4"/>
      <c r="E9" s="4"/>
      <c r="F9" s="3"/>
      <c r="G9" s="3"/>
      <c r="H9" s="4"/>
      <c r="I9" s="55"/>
    </row>
    <row r="10" spans="1:9" ht="33" customHeight="1">
      <c r="A10" s="4"/>
      <c r="B10" s="4"/>
      <c r="C10" s="18"/>
      <c r="D10" s="4"/>
      <c r="E10" s="4"/>
      <c r="F10" s="3"/>
      <c r="G10" s="3"/>
      <c r="H10" s="4"/>
      <c r="I10" s="55"/>
    </row>
    <row r="11" spans="1:9" ht="33" customHeight="1">
      <c r="A11" s="4"/>
      <c r="B11" s="4"/>
      <c r="C11" s="18"/>
      <c r="D11" s="4"/>
      <c r="E11" s="4"/>
      <c r="F11" s="3"/>
      <c r="G11" s="3"/>
      <c r="H11" s="4"/>
      <c r="I11" s="55"/>
    </row>
    <row r="12" spans="1:9" ht="33" customHeight="1">
      <c r="A12" s="4"/>
      <c r="B12" s="4"/>
      <c r="C12" s="18"/>
      <c r="D12" s="4"/>
      <c r="E12" s="4"/>
      <c r="F12" s="3"/>
      <c r="G12" s="3"/>
      <c r="H12" s="4"/>
      <c r="I12" s="55"/>
    </row>
    <row r="13" spans="1:9" ht="33" customHeight="1">
      <c r="A13" s="4"/>
      <c r="B13" s="4"/>
      <c r="C13" s="18"/>
      <c r="D13" s="4"/>
      <c r="E13" s="4"/>
      <c r="F13" s="3"/>
      <c r="G13" s="3"/>
      <c r="H13" s="4"/>
      <c r="I13" s="55"/>
    </row>
    <row r="14" spans="1:9" ht="33" customHeight="1">
      <c r="A14" s="4"/>
      <c r="B14" s="4"/>
      <c r="C14" s="18"/>
      <c r="D14" s="4"/>
      <c r="E14" s="4"/>
      <c r="F14" s="3"/>
      <c r="G14" s="3"/>
      <c r="H14" s="4"/>
      <c r="I14" s="55"/>
    </row>
    <row r="15" spans="1:9" ht="33" customHeight="1">
      <c r="A15" s="4"/>
      <c r="B15" s="4"/>
      <c r="C15" s="18"/>
      <c r="D15" s="4"/>
      <c r="E15" s="4"/>
      <c r="F15" s="3"/>
      <c r="G15" s="3"/>
      <c r="H15" s="4"/>
      <c r="I15" s="55"/>
    </row>
    <row r="16" spans="1:9" ht="33" customHeight="1">
      <c r="A16" s="4"/>
      <c r="B16" s="4"/>
      <c r="C16" s="18"/>
      <c r="D16" s="4"/>
      <c r="E16" s="4"/>
      <c r="F16" s="3"/>
      <c r="G16" s="3"/>
      <c r="H16" s="4"/>
      <c r="I16" s="55"/>
    </row>
    <row r="17" spans="1:9" ht="33" customHeight="1">
      <c r="A17" s="4"/>
      <c r="B17" s="4"/>
      <c r="C17" s="18"/>
      <c r="D17" s="4"/>
      <c r="E17" s="4"/>
      <c r="F17" s="3"/>
      <c r="G17" s="3"/>
      <c r="H17" s="4"/>
      <c r="I17" s="55"/>
    </row>
    <row r="18" spans="1:9" ht="33" customHeight="1">
      <c r="A18" s="4"/>
      <c r="B18" s="4"/>
      <c r="C18" s="18"/>
      <c r="D18" s="4"/>
      <c r="E18" s="4"/>
      <c r="F18" s="3"/>
      <c r="G18" s="3"/>
      <c r="H18" s="4"/>
      <c r="I18" s="55"/>
    </row>
    <row r="19" spans="1:9" ht="33" customHeight="1">
      <c r="A19" s="4"/>
      <c r="B19" s="4"/>
      <c r="C19" s="18"/>
      <c r="D19" s="4"/>
      <c r="E19" s="4"/>
      <c r="F19" s="3"/>
      <c r="G19" s="3"/>
      <c r="H19" s="4"/>
      <c r="I19" s="55"/>
    </row>
    <row r="20" spans="1:9" ht="33" customHeight="1">
      <c r="A20" s="4"/>
      <c r="B20" s="4"/>
      <c r="C20" s="18"/>
      <c r="D20" s="4"/>
      <c r="E20" s="4"/>
      <c r="F20" s="3"/>
      <c r="G20" s="3"/>
      <c r="H20" s="4"/>
      <c r="I20" s="55"/>
    </row>
    <row r="21" spans="1:9" ht="33" customHeight="1">
      <c r="A21" s="4"/>
      <c r="B21" s="4"/>
      <c r="C21" s="18"/>
      <c r="D21" s="4"/>
      <c r="E21" s="4"/>
      <c r="F21" s="3"/>
      <c r="G21" s="3"/>
      <c r="H21" s="4"/>
      <c r="I21" s="55"/>
    </row>
    <row r="22" spans="1:9" ht="33" customHeight="1">
      <c r="A22" s="4"/>
      <c r="B22" s="4"/>
      <c r="C22" s="18"/>
      <c r="D22" s="4"/>
      <c r="E22" s="4"/>
      <c r="F22" s="3"/>
      <c r="G22" s="3"/>
      <c r="H22" s="4"/>
      <c r="I22" s="55"/>
    </row>
    <row r="23" spans="1:9" ht="33" customHeight="1">
      <c r="A23" s="4"/>
      <c r="B23" s="4"/>
      <c r="C23" s="18"/>
      <c r="D23" s="4"/>
      <c r="E23" s="4"/>
      <c r="F23" s="3"/>
      <c r="G23" s="3"/>
      <c r="H23" s="4"/>
      <c r="I23" s="55"/>
    </row>
    <row r="24" spans="1:9" ht="33" customHeight="1">
      <c r="A24" s="4"/>
      <c r="B24" s="4"/>
      <c r="C24" s="18"/>
      <c r="D24" s="4"/>
      <c r="E24" s="4"/>
      <c r="F24" s="3"/>
      <c r="G24" s="3"/>
      <c r="H24" s="4"/>
      <c r="I24" s="55"/>
    </row>
    <row r="25" spans="1:9" ht="33" customHeight="1">
      <c r="A25" s="4"/>
      <c r="B25" s="4"/>
      <c r="C25" s="18"/>
      <c r="D25" s="4"/>
      <c r="E25" s="4"/>
      <c r="F25" s="3"/>
      <c r="G25" s="3"/>
      <c r="H25" s="4"/>
      <c r="I25" s="55"/>
    </row>
    <row r="26" spans="1:9" ht="33" customHeight="1">
      <c r="A26" s="4"/>
      <c r="B26" s="4"/>
      <c r="C26" s="18"/>
      <c r="D26" s="4"/>
      <c r="E26" s="4"/>
      <c r="F26" s="3"/>
      <c r="G26" s="3"/>
      <c r="H26" s="4"/>
      <c r="I26" s="55"/>
    </row>
    <row r="27" spans="1:8" ht="13.5">
      <c r="A27" s="16"/>
      <c r="B27" s="16"/>
      <c r="C27" s="20"/>
      <c r="D27" s="16"/>
      <c r="E27" s="16"/>
      <c r="F27" s="17"/>
      <c r="G27" s="17"/>
      <c r="H27" s="16"/>
    </row>
    <row r="29" spans="3:8" ht="15" thickBot="1">
      <c r="C29" s="21"/>
      <c r="D29" s="57" t="s">
        <v>45</v>
      </c>
      <c r="E29" s="21">
        <f>SUM(E9:E28)</f>
        <v>0</v>
      </c>
      <c r="F29" s="21" t="s">
        <v>46</v>
      </c>
      <c r="G29" s="22">
        <f>SUM(G9:G28)</f>
        <v>0</v>
      </c>
      <c r="H29" s="23"/>
    </row>
  </sheetData>
  <sheetProtection/>
  <mergeCells count="2">
    <mergeCell ref="A1:H1"/>
    <mergeCell ref="G3:H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/>
  <headerFooter alignWithMargins="0">
    <oddFooter>&amp;L桜井谷東小学校&amp;C&amp;P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63" zoomScaleNormal="63" zoomScalePageLayoutView="0" workbookViewId="0" topLeftCell="A1">
      <pane ySplit="1" topLeftCell="A2" activePane="bottomLeft" state="frozen"/>
      <selection pane="topLeft" activeCell="B93" sqref="B93"/>
      <selection pane="bottomLeft" activeCell="B2" sqref="B2"/>
    </sheetView>
  </sheetViews>
  <sheetFormatPr defaultColWidth="9.00390625" defaultRowHeight="13.5"/>
  <cols>
    <col min="1" max="1" width="5.625" style="7" bestFit="1" customWidth="1"/>
    <col min="2" max="2" width="45.00390625" style="7" bestFit="1" customWidth="1"/>
    <col min="3" max="3" width="32.125" style="7" customWidth="1"/>
    <col min="4" max="4" width="9.125" style="36" customWidth="1"/>
    <col min="5" max="5" width="11.625" style="7" customWidth="1"/>
    <col min="6" max="6" width="5.375" style="7" bestFit="1" customWidth="1"/>
    <col min="7" max="7" width="11.00390625" style="8" bestFit="1" customWidth="1"/>
    <col min="8" max="8" width="10.125" style="8" bestFit="1" customWidth="1"/>
    <col min="9" max="9" width="8.625" style="7" bestFit="1" customWidth="1"/>
    <col min="10" max="10" width="9.50390625" style="45" bestFit="1" customWidth="1"/>
    <col min="11" max="11" width="5.625" style="7" bestFit="1" customWidth="1"/>
    <col min="12" max="12" width="6.00390625" style="85" bestFit="1" customWidth="1"/>
    <col min="13" max="13" width="6.00390625" style="36" customWidth="1"/>
    <col min="14" max="16" width="8.875" style="28" bestFit="1" customWidth="1"/>
    <col min="17" max="18" width="10.125" style="7" bestFit="1" customWidth="1"/>
    <col min="19" max="19" width="12.875" style="7" bestFit="1" customWidth="1"/>
    <col min="20" max="16384" width="9.00390625" style="7" customWidth="1"/>
  </cols>
  <sheetData>
    <row r="1" spans="1:16" s="1" customFormat="1" ht="13.5">
      <c r="A1" s="5" t="s">
        <v>190</v>
      </c>
      <c r="B1" s="5" t="s">
        <v>38</v>
      </c>
      <c r="C1" s="5" t="s">
        <v>2</v>
      </c>
      <c r="D1" s="5" t="s">
        <v>49</v>
      </c>
      <c r="E1" s="5" t="s">
        <v>41</v>
      </c>
      <c r="F1" s="5" t="s">
        <v>40</v>
      </c>
      <c r="G1" s="6" t="s">
        <v>42</v>
      </c>
      <c r="H1" s="6" t="s">
        <v>43</v>
      </c>
      <c r="I1" s="5" t="s">
        <v>44</v>
      </c>
      <c r="J1" s="42" t="s">
        <v>183</v>
      </c>
      <c r="K1" s="5" t="s">
        <v>177</v>
      </c>
      <c r="L1" s="82" t="s">
        <v>233</v>
      </c>
      <c r="M1" s="87" t="s">
        <v>194</v>
      </c>
      <c r="N1" s="78" t="s">
        <v>210</v>
      </c>
      <c r="O1" s="78" t="s">
        <v>224</v>
      </c>
      <c r="P1" s="78" t="s">
        <v>228</v>
      </c>
    </row>
    <row r="2" spans="1:16" ht="33" customHeight="1">
      <c r="A2" s="38"/>
      <c r="B2" s="4"/>
      <c r="C2" s="4"/>
      <c r="D2" s="18"/>
      <c r="E2" s="4"/>
      <c r="F2" s="4"/>
      <c r="G2" s="3"/>
      <c r="H2" s="3"/>
      <c r="I2" s="4"/>
      <c r="J2" s="41"/>
      <c r="K2" s="38"/>
      <c r="L2" s="83"/>
      <c r="M2" s="65"/>
      <c r="N2" s="66"/>
      <c r="O2" s="66"/>
      <c r="P2" s="66"/>
    </row>
    <row r="3" spans="1:16" ht="33" customHeight="1">
      <c r="A3" s="38"/>
      <c r="B3" s="4"/>
      <c r="C3" s="4"/>
      <c r="D3" s="18"/>
      <c r="E3" s="4"/>
      <c r="F3" s="4"/>
      <c r="G3" s="3"/>
      <c r="H3" s="3"/>
      <c r="I3" s="4"/>
      <c r="J3" s="41"/>
      <c r="K3" s="38"/>
      <c r="L3" s="83"/>
      <c r="M3" s="65"/>
      <c r="N3" s="66"/>
      <c r="O3" s="66"/>
      <c r="P3" s="66"/>
    </row>
    <row r="4" spans="1:16" ht="33" customHeight="1">
      <c r="A4" s="38"/>
      <c r="B4" s="4"/>
      <c r="C4" s="4"/>
      <c r="D4" s="18"/>
      <c r="E4" s="4"/>
      <c r="F4" s="4"/>
      <c r="G4" s="3"/>
      <c r="H4" s="3"/>
      <c r="I4" s="4"/>
      <c r="J4" s="41"/>
      <c r="K4" s="38"/>
      <c r="L4" s="83"/>
      <c r="M4" s="65"/>
      <c r="N4" s="66"/>
      <c r="O4" s="66"/>
      <c r="P4" s="66"/>
    </row>
    <row r="5" spans="1:16" ht="33" customHeight="1">
      <c r="A5" s="38"/>
      <c r="B5" s="4"/>
      <c r="C5" s="4"/>
      <c r="D5" s="18"/>
      <c r="E5" s="4"/>
      <c r="F5" s="4"/>
      <c r="G5" s="3"/>
      <c r="H5" s="3"/>
      <c r="I5" s="4"/>
      <c r="J5" s="41"/>
      <c r="K5" s="38"/>
      <c r="L5" s="83"/>
      <c r="M5" s="65"/>
      <c r="N5" s="66"/>
      <c r="O5" s="66"/>
      <c r="P5" s="66"/>
    </row>
    <row r="6" spans="1:16" ht="33" customHeight="1">
      <c r="A6" s="38"/>
      <c r="B6" s="4"/>
      <c r="C6" s="4"/>
      <c r="D6" s="18"/>
      <c r="E6" s="4"/>
      <c r="F6" s="4"/>
      <c r="G6" s="3"/>
      <c r="H6" s="3"/>
      <c r="I6" s="4"/>
      <c r="J6" s="41"/>
      <c r="K6" s="38"/>
      <c r="L6" s="83"/>
      <c r="M6" s="65"/>
      <c r="N6" s="66"/>
      <c r="O6" s="66"/>
      <c r="P6" s="66"/>
    </row>
    <row r="7" spans="1:16" ht="33" customHeight="1">
      <c r="A7" s="38"/>
      <c r="B7" s="4"/>
      <c r="C7" s="4"/>
      <c r="D7" s="18"/>
      <c r="E7" s="4"/>
      <c r="F7" s="4"/>
      <c r="G7" s="3"/>
      <c r="H7" s="3"/>
      <c r="I7" s="4"/>
      <c r="J7" s="41"/>
      <c r="K7" s="38"/>
      <c r="L7" s="83"/>
      <c r="M7" s="65"/>
      <c r="N7" s="66"/>
      <c r="O7" s="66"/>
      <c r="P7" s="66"/>
    </row>
    <row r="8" spans="1:16" ht="33" customHeight="1">
      <c r="A8" s="38"/>
      <c r="B8" s="4"/>
      <c r="C8" s="4"/>
      <c r="D8" s="18"/>
      <c r="E8" s="4"/>
      <c r="F8" s="4"/>
      <c r="G8" s="3"/>
      <c r="H8" s="3"/>
      <c r="I8" s="4"/>
      <c r="J8" s="41"/>
      <c r="K8" s="38"/>
      <c r="L8" s="83"/>
      <c r="M8" s="65"/>
      <c r="N8" s="66"/>
      <c r="O8" s="66"/>
      <c r="P8" s="66"/>
    </row>
    <row r="9" spans="1:16" ht="33" customHeight="1">
      <c r="A9" s="38"/>
      <c r="B9" s="4"/>
      <c r="C9" s="4"/>
      <c r="D9" s="18"/>
      <c r="E9" s="4"/>
      <c r="F9" s="4"/>
      <c r="G9" s="3"/>
      <c r="H9" s="3"/>
      <c r="I9" s="4"/>
      <c r="J9" s="41"/>
      <c r="K9" s="38"/>
      <c r="L9" s="83"/>
      <c r="M9" s="65"/>
      <c r="N9" s="66"/>
      <c r="O9" s="66"/>
      <c r="P9" s="66"/>
    </row>
    <row r="10" spans="1:16" ht="33" customHeight="1">
      <c r="A10" s="38"/>
      <c r="B10" s="4"/>
      <c r="C10" s="4"/>
      <c r="D10" s="18"/>
      <c r="E10" s="4"/>
      <c r="F10" s="4"/>
      <c r="G10" s="3"/>
      <c r="H10" s="3"/>
      <c r="I10" s="4"/>
      <c r="J10" s="41"/>
      <c r="K10" s="38"/>
      <c r="L10" s="83"/>
      <c r="M10" s="65"/>
      <c r="N10" s="66"/>
      <c r="O10" s="66"/>
      <c r="P10" s="66"/>
    </row>
    <row r="11" spans="1:16" ht="33" customHeight="1">
      <c r="A11" s="38"/>
      <c r="B11" s="4"/>
      <c r="C11" s="4"/>
      <c r="D11" s="18"/>
      <c r="E11" s="4"/>
      <c r="F11" s="4"/>
      <c r="G11" s="3"/>
      <c r="H11" s="3"/>
      <c r="I11" s="4"/>
      <c r="J11" s="41"/>
      <c r="K11" s="38"/>
      <c r="L11" s="83"/>
      <c r="M11" s="65"/>
      <c r="N11" s="66"/>
      <c r="O11" s="66"/>
      <c r="P11" s="66"/>
    </row>
    <row r="12" spans="1:16" ht="33" customHeight="1">
      <c r="A12" s="38"/>
      <c r="B12" s="4"/>
      <c r="C12" s="4"/>
      <c r="D12" s="18"/>
      <c r="E12" s="4"/>
      <c r="F12" s="4"/>
      <c r="G12" s="3"/>
      <c r="H12" s="3"/>
      <c r="I12" s="4"/>
      <c r="J12" s="41"/>
      <c r="K12" s="38"/>
      <c r="L12" s="83"/>
      <c r="M12" s="65"/>
      <c r="N12" s="66"/>
      <c r="O12" s="66"/>
      <c r="P12" s="66"/>
    </row>
    <row r="13" spans="1:16" ht="33" customHeight="1">
      <c r="A13" s="38"/>
      <c r="B13" s="4"/>
      <c r="C13" s="4"/>
      <c r="D13" s="18"/>
      <c r="E13" s="4"/>
      <c r="F13" s="4"/>
      <c r="G13" s="3"/>
      <c r="H13" s="3"/>
      <c r="I13" s="4"/>
      <c r="J13" s="41"/>
      <c r="K13" s="38"/>
      <c r="L13" s="83"/>
      <c r="M13" s="65"/>
      <c r="N13" s="66"/>
      <c r="O13" s="66"/>
      <c r="P13" s="66"/>
    </row>
    <row r="14" spans="1:16" ht="33" customHeight="1">
      <c r="A14" s="37"/>
      <c r="B14" s="4"/>
      <c r="C14" s="4"/>
      <c r="D14" s="18"/>
      <c r="E14" s="4"/>
      <c r="F14" s="4"/>
      <c r="G14" s="3"/>
      <c r="H14" s="3"/>
      <c r="I14" s="4"/>
      <c r="J14" s="41"/>
      <c r="K14" s="37"/>
      <c r="L14" s="84"/>
      <c r="M14" s="88"/>
      <c r="N14" s="79"/>
      <c r="O14" s="79"/>
      <c r="P14" s="79"/>
    </row>
    <row r="15" spans="2:10" ht="13.5">
      <c r="B15" s="16"/>
      <c r="C15" s="51"/>
      <c r="D15" s="19"/>
      <c r="E15" s="16"/>
      <c r="F15" s="16"/>
      <c r="G15" s="17"/>
      <c r="H15" s="17"/>
      <c r="I15" s="16"/>
      <c r="J15" s="43"/>
    </row>
    <row r="16" ht="13.5">
      <c r="C16" s="16"/>
    </row>
    <row r="17" spans="2:10" ht="15" thickBot="1">
      <c r="B17" s="47" t="s">
        <v>184</v>
      </c>
      <c r="C17" s="48">
        <v>748200</v>
      </c>
      <c r="D17" s="35">
        <f>SUM(F14:F14)</f>
        <v>0</v>
      </c>
      <c r="E17" s="21" t="s">
        <v>46</v>
      </c>
      <c r="F17" s="21"/>
      <c r="G17" s="22"/>
      <c r="H17" s="54">
        <f>SUM(H2:H16)</f>
        <v>0</v>
      </c>
      <c r="I17" s="23" t="s">
        <v>98</v>
      </c>
      <c r="J17" s="44"/>
    </row>
    <row r="18" spans="2:3" ht="13.5">
      <c r="B18" s="47" t="s">
        <v>186</v>
      </c>
      <c r="C18" s="48">
        <v>66000</v>
      </c>
    </row>
    <row r="19" spans="2:9" ht="13.5">
      <c r="B19" s="47" t="s">
        <v>45</v>
      </c>
      <c r="C19" s="48">
        <f>SUM(C17:C18)</f>
        <v>814200</v>
      </c>
      <c r="G19" s="50" t="s">
        <v>185</v>
      </c>
      <c r="H19" s="49">
        <f>C19-H17</f>
        <v>814200</v>
      </c>
      <c r="I19" s="55"/>
    </row>
    <row r="20" ht="13.5">
      <c r="C20" s="48"/>
    </row>
    <row r="21" spans="2:12" ht="13.5">
      <c r="B21" s="47"/>
      <c r="C21" s="47"/>
      <c r="D21" s="47"/>
      <c r="L21" s="86"/>
    </row>
    <row r="22" spans="2:16" ht="13.5">
      <c r="B22" s="49"/>
      <c r="C22" s="70" t="s">
        <v>238</v>
      </c>
      <c r="D22" s="92">
        <f>25800+400*26+2*930</f>
        <v>38060</v>
      </c>
      <c r="E22" s="73" t="s">
        <v>207</v>
      </c>
      <c r="F22" s="93"/>
      <c r="G22" s="47" t="s">
        <v>208</v>
      </c>
      <c r="H22" s="69">
        <f>SUM(F14:F14)</f>
        <v>0</v>
      </c>
      <c r="I22" s="67" t="s">
        <v>206</v>
      </c>
      <c r="J22" s="67" t="s">
        <v>209</v>
      </c>
      <c r="K22" s="55"/>
      <c r="L22" s="86"/>
      <c r="M22" s="89"/>
      <c r="N22" s="81" t="s">
        <v>229</v>
      </c>
      <c r="O22" s="81" t="s">
        <v>230</v>
      </c>
      <c r="P22" s="81" t="s">
        <v>231</v>
      </c>
    </row>
    <row r="23" spans="2:16" ht="13.5">
      <c r="B23" s="47"/>
      <c r="C23" s="72">
        <v>0.06</v>
      </c>
      <c r="D23" s="68" t="s">
        <v>195</v>
      </c>
      <c r="E23" s="71">
        <v>0.0093</v>
      </c>
      <c r="F23" s="55"/>
      <c r="G23" s="68" t="s">
        <v>195</v>
      </c>
      <c r="H23" s="94">
        <f>COUNTIF(M2:M14,"0類")</f>
        <v>0</v>
      </c>
      <c r="I23" s="95" t="e">
        <f>H23/H22</f>
        <v>#DIV/0!</v>
      </c>
      <c r="J23" s="94">
        <f>COUNTIF(N2:N14,"シリーズ0類")</f>
        <v>0</v>
      </c>
      <c r="K23" s="55"/>
      <c r="L23" s="96"/>
      <c r="M23" s="90" t="s">
        <v>195</v>
      </c>
      <c r="N23" s="94">
        <f>COUNTIF(P2:P14,"0類・低")</f>
        <v>0</v>
      </c>
      <c r="O23" s="97">
        <f>COUNTIF(P2:P14,"0類・中")</f>
        <v>0</v>
      </c>
      <c r="P23" s="97">
        <f>COUNTIF(P2:P14,"0類・高")</f>
        <v>0</v>
      </c>
    </row>
    <row r="24" spans="2:16" ht="13.5">
      <c r="B24" s="47"/>
      <c r="C24" s="98">
        <v>0.02</v>
      </c>
      <c r="D24" s="68" t="s">
        <v>196</v>
      </c>
      <c r="E24" s="71">
        <v>0.0059</v>
      </c>
      <c r="F24" s="55"/>
      <c r="G24" s="68" t="s">
        <v>196</v>
      </c>
      <c r="H24" s="94">
        <f>COUNTIF(M2:M14,"1類")</f>
        <v>0</v>
      </c>
      <c r="I24" s="95" t="e">
        <f>H24/H22</f>
        <v>#DIV/0!</v>
      </c>
      <c r="J24" s="99">
        <f>COUNTIF(N2:N14,"シリーズ1類")</f>
        <v>0</v>
      </c>
      <c r="K24" s="55"/>
      <c r="L24" s="96"/>
      <c r="M24" s="90" t="s">
        <v>196</v>
      </c>
      <c r="N24" s="97">
        <f>COUNTIF(P2:P14,"1類・低")</f>
        <v>0</v>
      </c>
      <c r="O24" s="97">
        <f>COUNTIF(P2:P14,"1類・中")</f>
        <v>0</v>
      </c>
      <c r="P24" s="94">
        <f>COUNTIF(P2:P14,"1類・高")</f>
        <v>0</v>
      </c>
    </row>
    <row r="25" spans="2:16" ht="13.5">
      <c r="B25" s="47"/>
      <c r="C25" s="98">
        <v>0.18</v>
      </c>
      <c r="D25" s="68" t="s">
        <v>197</v>
      </c>
      <c r="E25" s="71">
        <v>0.0827</v>
      </c>
      <c r="F25" s="55"/>
      <c r="G25" s="68" t="s">
        <v>197</v>
      </c>
      <c r="H25" s="94">
        <f>COUNTIF(M2:M14,"2類")</f>
        <v>0</v>
      </c>
      <c r="I25" s="95" t="e">
        <f>H25/H22</f>
        <v>#DIV/0!</v>
      </c>
      <c r="J25" s="94">
        <f>COUNTIF(N2:N14,"シリーズ2類")</f>
        <v>0</v>
      </c>
      <c r="K25" s="55"/>
      <c r="L25" s="96"/>
      <c r="M25" s="90" t="s">
        <v>197</v>
      </c>
      <c r="N25" s="97">
        <f>COUNTIF(P2:P14,"2類・低")</f>
        <v>0</v>
      </c>
      <c r="O25" s="97">
        <f>COUNTIF(P2:P14,"2類・中")</f>
        <v>0</v>
      </c>
      <c r="P25" s="94">
        <f>COUNTIF(P2:P14,"2類・高")</f>
        <v>0</v>
      </c>
    </row>
    <row r="26" spans="2:16" ht="13.5">
      <c r="B26" s="47"/>
      <c r="C26" s="98">
        <v>0.09</v>
      </c>
      <c r="D26" s="68" t="s">
        <v>198</v>
      </c>
      <c r="E26" s="71">
        <v>0.0564</v>
      </c>
      <c r="F26" s="55"/>
      <c r="G26" s="68" t="s">
        <v>198</v>
      </c>
      <c r="H26" s="94">
        <f>COUNTIF(M2:M14,"3類")</f>
        <v>0</v>
      </c>
      <c r="I26" s="95" t="e">
        <f>H26/H22</f>
        <v>#DIV/0!</v>
      </c>
      <c r="J26" s="99">
        <f>COUNTIF(N2:N14,"シリーズ3類")</f>
        <v>0</v>
      </c>
      <c r="K26" s="55"/>
      <c r="L26" s="96"/>
      <c r="M26" s="90" t="s">
        <v>198</v>
      </c>
      <c r="N26" s="97">
        <f>COUNTIF(P2:P14,"3類・低")</f>
        <v>0</v>
      </c>
      <c r="O26" s="97">
        <f>COUNTIF(P2:P14,"3類・中")</f>
        <v>0</v>
      </c>
      <c r="P26" s="94">
        <f>COUNTIF(P2:P14,"3類・高")</f>
        <v>0</v>
      </c>
    </row>
    <row r="27" spans="2:16" ht="13.5">
      <c r="B27" s="47"/>
      <c r="C27" s="98">
        <v>0.15</v>
      </c>
      <c r="D27" s="68" t="s">
        <v>199</v>
      </c>
      <c r="E27" s="71">
        <v>0.0954</v>
      </c>
      <c r="F27" s="55"/>
      <c r="G27" s="68" t="s">
        <v>199</v>
      </c>
      <c r="H27" s="94">
        <f>COUNTIF(M2:M14,"4類")</f>
        <v>0</v>
      </c>
      <c r="I27" s="95" t="e">
        <f>H27/H22</f>
        <v>#DIV/0!</v>
      </c>
      <c r="J27" s="99">
        <f>COUNTIF(N2:N14,"シリーズ4類")</f>
        <v>0</v>
      </c>
      <c r="K27" s="55"/>
      <c r="L27" s="96"/>
      <c r="M27" s="90" t="s">
        <v>199</v>
      </c>
      <c r="N27" s="97">
        <f>COUNTIF(P2:P14,"4類・低")</f>
        <v>0</v>
      </c>
      <c r="O27" s="97">
        <f>COUNTIF(P2:P14,"4類・中")</f>
        <v>0</v>
      </c>
      <c r="P27" s="94">
        <f>COUNTIF(P2:P14,"4類・高")</f>
        <v>0</v>
      </c>
    </row>
    <row r="28" spans="2:16" ht="13.5">
      <c r="B28" s="47"/>
      <c r="C28" s="98">
        <v>0.06</v>
      </c>
      <c r="D28" s="68" t="s">
        <v>200</v>
      </c>
      <c r="E28" s="71">
        <v>0.051</v>
      </c>
      <c r="F28" s="55"/>
      <c r="G28" s="68" t="s">
        <v>200</v>
      </c>
      <c r="H28" s="94">
        <f>COUNTIF(M2:M14,"5類")</f>
        <v>0</v>
      </c>
      <c r="I28" s="95" t="e">
        <f>H28/H22</f>
        <v>#DIV/0!</v>
      </c>
      <c r="J28" s="99">
        <f>COUNTIF(N2:N14,"シリーズ5類")</f>
        <v>0</v>
      </c>
      <c r="K28" s="55"/>
      <c r="L28" s="96"/>
      <c r="M28" s="90" t="s">
        <v>200</v>
      </c>
      <c r="N28" s="97">
        <f>COUNTIF(P2:P14,"5類・低")</f>
        <v>0</v>
      </c>
      <c r="O28" s="97">
        <f>COUNTIF(P2:P14,"5類・中")</f>
        <v>0</v>
      </c>
      <c r="P28" s="94">
        <f>COUNTIF(P2:P14,"5類・高")</f>
        <v>0</v>
      </c>
    </row>
    <row r="29" spans="2:16" ht="13.5">
      <c r="B29" s="47"/>
      <c r="C29" s="98">
        <v>0.05</v>
      </c>
      <c r="D29" s="68" t="s">
        <v>201</v>
      </c>
      <c r="E29" s="71">
        <v>0.0314</v>
      </c>
      <c r="F29" s="55"/>
      <c r="G29" s="68" t="s">
        <v>201</v>
      </c>
      <c r="H29" s="94">
        <f>COUNTIF(M2:M14,"6類")</f>
        <v>0</v>
      </c>
      <c r="I29" s="95" t="e">
        <f>H29/H22</f>
        <v>#DIV/0!</v>
      </c>
      <c r="J29" s="99">
        <f>COUNTIF(N2:N14,"シリーズ6類")</f>
        <v>0</v>
      </c>
      <c r="K29" s="55"/>
      <c r="L29" s="96"/>
      <c r="M29" s="90" t="s">
        <v>201</v>
      </c>
      <c r="N29" s="97">
        <f>COUNTIF(P2:P14,"6類・低")</f>
        <v>0</v>
      </c>
      <c r="O29" s="97">
        <f>COUNTIF(P2:P14,"6類・中")</f>
        <v>0</v>
      </c>
      <c r="P29" s="94">
        <f>COUNTIF(P2:P14,"6類・高")</f>
        <v>0</v>
      </c>
    </row>
    <row r="30" spans="2:16" ht="13.5">
      <c r="B30" s="47"/>
      <c r="C30" s="98">
        <v>0.09</v>
      </c>
      <c r="D30" s="68" t="s">
        <v>202</v>
      </c>
      <c r="E30" s="71">
        <v>0.0826</v>
      </c>
      <c r="F30" s="55"/>
      <c r="G30" s="68" t="s">
        <v>202</v>
      </c>
      <c r="H30" s="94">
        <f>COUNTIF(M2:M14,"7類")</f>
        <v>0</v>
      </c>
      <c r="I30" s="95" t="e">
        <f>H30/H22</f>
        <v>#DIV/0!</v>
      </c>
      <c r="J30" s="99">
        <f>COUNTIF(N2:N14,"シリーズ7類")</f>
        <v>0</v>
      </c>
      <c r="K30" s="55"/>
      <c r="L30" s="96"/>
      <c r="M30" s="90" t="s">
        <v>202</v>
      </c>
      <c r="N30" s="97">
        <f>COUNTIF(P2:P14,"7類・低")</f>
        <v>0</v>
      </c>
      <c r="O30" s="97">
        <f>COUNTIF(P2:P14,"7類・中")</f>
        <v>0</v>
      </c>
      <c r="P30" s="94">
        <f>COUNTIF(P2:P14,"7類・高")</f>
        <v>0</v>
      </c>
    </row>
    <row r="31" spans="2:16" ht="13.5">
      <c r="B31" s="47"/>
      <c r="C31" s="98">
        <v>0.04</v>
      </c>
      <c r="D31" s="68" t="s">
        <v>203</v>
      </c>
      <c r="E31" s="71">
        <v>0.0224</v>
      </c>
      <c r="F31" s="55"/>
      <c r="G31" s="68" t="s">
        <v>203</v>
      </c>
      <c r="H31" s="94">
        <f>COUNTIF(M2:M14,"8類")</f>
        <v>0</v>
      </c>
      <c r="I31" s="95" t="e">
        <f>H31/H22</f>
        <v>#DIV/0!</v>
      </c>
      <c r="J31" s="99">
        <f>COUNTIF(N2:N14,"シリーズ8類")</f>
        <v>0</v>
      </c>
      <c r="K31" s="55"/>
      <c r="L31" s="96"/>
      <c r="M31" s="90" t="s">
        <v>203</v>
      </c>
      <c r="N31" s="97">
        <f>COUNTIF(P2:P14,"8類・低")</f>
        <v>0</v>
      </c>
      <c r="O31" s="97">
        <f>COUNTIF(P2:P14,"8類・中")</f>
        <v>0</v>
      </c>
      <c r="P31" s="94">
        <f>COUNTIF(P2:P14,"8類・高")</f>
        <v>0</v>
      </c>
    </row>
    <row r="32" spans="2:16" ht="13.5">
      <c r="B32" s="47"/>
      <c r="C32" s="98">
        <v>0.26</v>
      </c>
      <c r="D32" s="68" t="s">
        <v>204</v>
      </c>
      <c r="E32" s="71">
        <v>0.3306</v>
      </c>
      <c r="F32" s="55"/>
      <c r="G32" s="68" t="s">
        <v>204</v>
      </c>
      <c r="H32" s="94">
        <f>COUNTIF(M2:M14,"9類")</f>
        <v>0</v>
      </c>
      <c r="I32" s="95" t="e">
        <f>H32/H22</f>
        <v>#DIV/0!</v>
      </c>
      <c r="J32" s="94">
        <f>COUNTIF(N2:N14,"シリーズ9類")</f>
        <v>0</v>
      </c>
      <c r="K32" s="55"/>
      <c r="L32" s="96"/>
      <c r="M32" s="90" t="s">
        <v>204</v>
      </c>
      <c r="N32" s="97">
        <f>COUNTIF(P2:P14,"9類・低")</f>
        <v>0</v>
      </c>
      <c r="O32" s="97">
        <f>COUNTIF(P2:P14,"9類・中")</f>
        <v>0</v>
      </c>
      <c r="P32" s="94">
        <f>COUNTIF(P2:P14,"9類・高")</f>
        <v>0</v>
      </c>
    </row>
    <row r="33" spans="2:16" ht="13.5">
      <c r="B33" s="47"/>
      <c r="C33" s="98"/>
      <c r="D33" s="68" t="s">
        <v>205</v>
      </c>
      <c r="E33" s="71">
        <v>0.19</v>
      </c>
      <c r="F33" s="55"/>
      <c r="G33" s="68" t="s">
        <v>205</v>
      </c>
      <c r="H33" s="94">
        <f>COUNTIF(M2:M14,"E")</f>
        <v>0</v>
      </c>
      <c r="I33" s="95" t="e">
        <f>H33/H22</f>
        <v>#DIV/0!</v>
      </c>
      <c r="J33" s="94">
        <f>COUNTIF(N3:N15,"シリーズE")</f>
        <v>0</v>
      </c>
      <c r="K33" s="55"/>
      <c r="L33" s="96"/>
      <c r="M33" s="90" t="s">
        <v>205</v>
      </c>
      <c r="N33" s="97">
        <f>COUNTIF(P2:P14,"E・低")</f>
        <v>0</v>
      </c>
      <c r="O33" s="97">
        <f>COUNTIF(P2:P14,"E・中")</f>
        <v>0</v>
      </c>
      <c r="P33" s="94">
        <f>COUNTIF(P2:P14,"E・高")</f>
        <v>0</v>
      </c>
    </row>
    <row r="34" spans="2:16" ht="13.5">
      <c r="B34" s="47"/>
      <c r="C34" s="55"/>
      <c r="D34" s="68" t="s">
        <v>211</v>
      </c>
      <c r="E34" s="68"/>
      <c r="F34" s="55"/>
      <c r="G34" s="68" t="s">
        <v>211</v>
      </c>
      <c r="H34" s="94">
        <f>COUNTIF(M2:M14,"M")</f>
        <v>0</v>
      </c>
      <c r="I34" s="94"/>
      <c r="J34" s="94">
        <f>COUNTIF(N3:N15,"シリーズM")</f>
        <v>0</v>
      </c>
      <c r="K34" s="55"/>
      <c r="L34" s="96"/>
      <c r="M34" s="90" t="s">
        <v>211</v>
      </c>
      <c r="N34" s="97">
        <f>COUNTIF(P2:P14,"まんが・低")</f>
        <v>0</v>
      </c>
      <c r="O34" s="97">
        <f>COUNTIF(P2:P14,"まんが・中")</f>
        <v>0</v>
      </c>
      <c r="P34" s="94">
        <f>COUNTIF(P2:P14,"まんが・高")</f>
        <v>0</v>
      </c>
    </row>
    <row r="35" spans="3:16" ht="13.5">
      <c r="C35" s="55"/>
      <c r="D35" s="100"/>
      <c r="E35" s="55"/>
      <c r="F35" s="55"/>
      <c r="G35" s="101"/>
      <c r="H35" s="101"/>
      <c r="I35" s="55"/>
      <c r="J35" s="102"/>
      <c r="K35" s="55"/>
      <c r="L35" s="96"/>
      <c r="M35" s="100"/>
      <c r="N35" s="103"/>
      <c r="O35" s="103"/>
      <c r="P35" s="103"/>
    </row>
    <row r="36" spans="3:16" ht="13.5">
      <c r="C36" s="94"/>
      <c r="D36" s="38" t="s">
        <v>212</v>
      </c>
      <c r="E36" s="38" t="s">
        <v>232</v>
      </c>
      <c r="F36" s="38" t="s">
        <v>225</v>
      </c>
      <c r="G36" s="38" t="s">
        <v>226</v>
      </c>
      <c r="H36" s="80" t="s">
        <v>227</v>
      </c>
      <c r="I36" s="55"/>
      <c r="J36" s="102"/>
      <c r="K36" s="55"/>
      <c r="L36" s="96"/>
      <c r="M36" s="100"/>
      <c r="N36" s="103"/>
      <c r="O36" s="103"/>
      <c r="P36" s="103"/>
    </row>
    <row r="37" spans="3:16" ht="13.5">
      <c r="C37" s="68" t="s">
        <v>213</v>
      </c>
      <c r="D37" s="68">
        <f>COUNTIF(O2:O14,"1年のりもの")</f>
        <v>0</v>
      </c>
      <c r="E37" s="68">
        <v>51</v>
      </c>
      <c r="F37" s="68">
        <v>0</v>
      </c>
      <c r="G37" s="68">
        <v>60</v>
      </c>
      <c r="H37" s="91">
        <f>D37+E37-G37</f>
        <v>-9</v>
      </c>
      <c r="I37" s="55"/>
      <c r="J37" s="102"/>
      <c r="K37" s="55"/>
      <c r="L37" s="96"/>
      <c r="M37" s="100"/>
      <c r="N37" s="103"/>
      <c r="O37" s="103"/>
      <c r="P37" s="103"/>
    </row>
    <row r="38" spans="3:16" ht="13.5">
      <c r="C38" s="68" t="s">
        <v>214</v>
      </c>
      <c r="D38" s="68">
        <f>COUNTIF(O2:O14,"2年昔話")</f>
        <v>0</v>
      </c>
      <c r="E38" s="68"/>
      <c r="F38" s="68"/>
      <c r="G38" s="68">
        <v>50</v>
      </c>
      <c r="H38" s="91">
        <f aca="true" t="shared" si="0" ref="H38:H47">D38+E38-G38</f>
        <v>-50</v>
      </c>
      <c r="I38" s="55"/>
      <c r="J38" s="102"/>
      <c r="K38" s="55"/>
      <c r="L38" s="96"/>
      <c r="M38" s="100"/>
      <c r="N38" s="103"/>
      <c r="O38" s="103"/>
      <c r="P38" s="103"/>
    </row>
    <row r="39" spans="3:16" ht="13.5">
      <c r="C39" s="68" t="s">
        <v>215</v>
      </c>
      <c r="D39" s="68">
        <f>COUNTIF(O2:O14,"2年図鑑")</f>
        <v>0</v>
      </c>
      <c r="E39" s="68">
        <v>28</v>
      </c>
      <c r="F39" s="68">
        <v>0</v>
      </c>
      <c r="G39" s="68">
        <v>40</v>
      </c>
      <c r="H39" s="91">
        <f t="shared" si="0"/>
        <v>-12</v>
      </c>
      <c r="I39" s="55"/>
      <c r="J39" s="102"/>
      <c r="K39" s="55"/>
      <c r="L39" s="96"/>
      <c r="M39" s="100"/>
      <c r="N39" s="103"/>
      <c r="O39" s="103"/>
      <c r="P39" s="103"/>
    </row>
    <row r="40" spans="3:16" ht="13.5">
      <c r="C40" s="68" t="s">
        <v>216</v>
      </c>
      <c r="D40" s="68">
        <f>COUNTIF(O2:O14,"3年研究")</f>
        <v>0</v>
      </c>
      <c r="E40" s="68"/>
      <c r="F40" s="68"/>
      <c r="G40" s="68"/>
      <c r="H40" s="91">
        <f t="shared" si="0"/>
        <v>0</v>
      </c>
      <c r="I40" s="55"/>
      <c r="J40" s="102"/>
      <c r="K40" s="55"/>
      <c r="L40" s="96"/>
      <c r="M40" s="100"/>
      <c r="N40" s="103"/>
      <c r="O40" s="103"/>
      <c r="P40" s="103"/>
    </row>
    <row r="41" spans="3:16" ht="13.5">
      <c r="C41" s="68" t="s">
        <v>217</v>
      </c>
      <c r="D41" s="68">
        <f>COUNTIF(O2:O14,"3年昔の暮らし")</f>
        <v>0</v>
      </c>
      <c r="E41" s="68">
        <v>63</v>
      </c>
      <c r="F41" s="68">
        <v>20</v>
      </c>
      <c r="G41" s="68">
        <v>60</v>
      </c>
      <c r="H41" s="91">
        <f t="shared" si="0"/>
        <v>3</v>
      </c>
      <c r="I41" s="55"/>
      <c r="J41" s="102"/>
      <c r="K41" s="55"/>
      <c r="L41" s="96"/>
      <c r="M41" s="100"/>
      <c r="N41" s="103"/>
      <c r="O41" s="103"/>
      <c r="P41" s="103"/>
    </row>
    <row r="42" spans="3:16" ht="13.5">
      <c r="C42" s="68" t="s">
        <v>218</v>
      </c>
      <c r="D42" s="68">
        <f>COUNTIF(O2:O14,"4年UD")</f>
        <v>0</v>
      </c>
      <c r="E42" s="68">
        <v>27</v>
      </c>
      <c r="F42" s="68">
        <v>10</v>
      </c>
      <c r="G42" s="68">
        <v>40</v>
      </c>
      <c r="H42" s="91">
        <f t="shared" si="0"/>
        <v>-13</v>
      </c>
      <c r="I42" s="55"/>
      <c r="J42" s="102"/>
      <c r="K42" s="55"/>
      <c r="L42" s="96"/>
      <c r="M42" s="100"/>
      <c r="N42" s="103"/>
      <c r="O42" s="103"/>
      <c r="P42" s="103"/>
    </row>
    <row r="43" spans="3:16" ht="13.5">
      <c r="C43" s="68" t="s">
        <v>219</v>
      </c>
      <c r="D43" s="68">
        <f>COUNTIF(O2:O14,"5年都道府県")</f>
        <v>0</v>
      </c>
      <c r="E43" s="68">
        <v>14</v>
      </c>
      <c r="F43" s="68">
        <v>0</v>
      </c>
      <c r="G43" s="68">
        <v>60</v>
      </c>
      <c r="H43" s="91">
        <f t="shared" si="0"/>
        <v>-46</v>
      </c>
      <c r="I43" s="55"/>
      <c r="J43" s="102"/>
      <c r="K43" s="55"/>
      <c r="L43" s="96"/>
      <c r="M43" s="100"/>
      <c r="N43" s="103"/>
      <c r="O43" s="103"/>
      <c r="P43" s="103"/>
    </row>
    <row r="44" spans="3:16" ht="13.5">
      <c r="C44" s="68" t="s">
        <v>220</v>
      </c>
      <c r="D44" s="68">
        <f>COUNTIF(O2:O14,"5年産業")</f>
        <v>0</v>
      </c>
      <c r="E44" s="68">
        <v>41</v>
      </c>
      <c r="F44" s="68">
        <v>0</v>
      </c>
      <c r="G44" s="68">
        <v>60</v>
      </c>
      <c r="H44" s="91">
        <f t="shared" si="0"/>
        <v>-19</v>
      </c>
      <c r="I44" s="55"/>
      <c r="J44" s="102"/>
      <c r="K44" s="55"/>
      <c r="L44" s="96"/>
      <c r="M44" s="100"/>
      <c r="N44" s="103"/>
      <c r="O44" s="103"/>
      <c r="P44" s="103"/>
    </row>
    <row r="45" spans="3:16" ht="13.5">
      <c r="C45" s="68" t="s">
        <v>221</v>
      </c>
      <c r="D45" s="68">
        <f>COUNTIF(O2:O14,"6年仕事")</f>
        <v>0</v>
      </c>
      <c r="E45" s="68">
        <v>71</v>
      </c>
      <c r="F45" s="68">
        <v>0</v>
      </c>
      <c r="G45" s="68">
        <v>160</v>
      </c>
      <c r="H45" s="91">
        <f t="shared" si="0"/>
        <v>-89</v>
      </c>
      <c r="I45" s="55"/>
      <c r="J45" s="102"/>
      <c r="K45" s="55"/>
      <c r="L45" s="96"/>
      <c r="M45" s="100"/>
      <c r="N45" s="103"/>
      <c r="O45" s="103"/>
      <c r="P45" s="103"/>
    </row>
    <row r="46" spans="3:16" ht="13.5">
      <c r="C46" s="68" t="s">
        <v>222</v>
      </c>
      <c r="D46" s="68">
        <f>COUNTIF(O2:O14,"6年戦争調べ")</f>
        <v>0</v>
      </c>
      <c r="E46" s="68">
        <v>46</v>
      </c>
      <c r="F46" s="68">
        <v>0</v>
      </c>
      <c r="G46" s="68">
        <v>80</v>
      </c>
      <c r="H46" s="91">
        <f t="shared" si="0"/>
        <v>-34</v>
      </c>
      <c r="I46" s="55"/>
      <c r="J46" s="102"/>
      <c r="K46" s="55"/>
      <c r="L46" s="96"/>
      <c r="M46" s="100"/>
      <c r="N46" s="103"/>
      <c r="O46" s="103"/>
      <c r="P46" s="103"/>
    </row>
    <row r="47" spans="3:16" ht="13.5">
      <c r="C47" s="68" t="s">
        <v>223</v>
      </c>
      <c r="D47" s="68">
        <f>COUNTIF(O2:O14,"6年戦争文学")</f>
        <v>0</v>
      </c>
      <c r="E47" s="68">
        <v>54</v>
      </c>
      <c r="F47" s="68">
        <v>20</v>
      </c>
      <c r="G47" s="68">
        <v>80</v>
      </c>
      <c r="H47" s="91">
        <f t="shared" si="0"/>
        <v>-26</v>
      </c>
      <c r="I47" s="55"/>
      <c r="J47" s="102"/>
      <c r="K47" s="55"/>
      <c r="L47" s="96"/>
      <c r="M47" s="100"/>
      <c r="N47" s="103"/>
      <c r="O47" s="103"/>
      <c r="P47" s="103"/>
    </row>
    <row r="48" spans="3:16" ht="13.5">
      <c r="C48" s="68" t="s">
        <v>234</v>
      </c>
      <c r="D48" s="68">
        <f>COUNTIF(O2:O14,"6年まちづくり")</f>
        <v>0</v>
      </c>
      <c r="E48" s="68">
        <v>0</v>
      </c>
      <c r="F48" s="68">
        <v>0</v>
      </c>
      <c r="G48" s="68">
        <v>20</v>
      </c>
      <c r="H48" s="91">
        <f>D48+E48-G48</f>
        <v>-20</v>
      </c>
      <c r="I48" s="55"/>
      <c r="J48" s="102"/>
      <c r="K48" s="55"/>
      <c r="L48" s="96"/>
      <c r="M48" s="100"/>
      <c r="N48" s="103"/>
      <c r="O48" s="103"/>
      <c r="P48" s="103"/>
    </row>
  </sheetData>
  <sheetProtection/>
  <autoFilter ref="A1:P13"/>
  <dataValidations count="1">
    <dataValidation allowBlank="1" showInputMessage="1" showErrorMessage="1" imeMode="on" sqref="D2:D3 D10:D13 D6:D8 M2:P3 M6:P8 M10:P13"/>
  </dataValidation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12" scale="91"/>
  <headerFooter alignWithMargins="0">
    <oddFooter>&amp;L桜井谷東小学校&amp;C&amp;P ページ</oddFooter>
  </headerFooter>
  <ignoredErrors>
    <ignoredError sqref="H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125" zoomScaleNormal="125" zoomScalePageLayoutView="0" workbookViewId="0" topLeftCell="A1">
      <pane ySplit="1" topLeftCell="A2" activePane="bottomLeft" state="frozen"/>
      <selection pane="topLeft" activeCell="B93" sqref="B93"/>
      <selection pane="bottomLeft" activeCell="V37" sqref="V37"/>
    </sheetView>
  </sheetViews>
  <sheetFormatPr defaultColWidth="9.00390625" defaultRowHeight="13.5"/>
  <cols>
    <col min="1" max="1" width="5.625" style="7" bestFit="1" customWidth="1"/>
    <col min="2" max="2" width="45.00390625" style="7" bestFit="1" customWidth="1"/>
    <col min="3" max="3" width="32.125" style="7" customWidth="1"/>
    <col min="4" max="4" width="9.125" style="36" customWidth="1"/>
    <col min="5" max="5" width="11.625" style="7" customWidth="1"/>
    <col min="6" max="6" width="5.375" style="7" bestFit="1" customWidth="1"/>
    <col min="7" max="7" width="11.00390625" style="8" bestFit="1" customWidth="1"/>
    <col min="8" max="8" width="10.125" style="8" bestFit="1" customWidth="1"/>
    <col min="9" max="9" width="8.625" style="7" bestFit="1" customWidth="1"/>
    <col min="10" max="10" width="9.50390625" style="45" bestFit="1" customWidth="1"/>
    <col min="11" max="11" width="5.625" style="7" bestFit="1" customWidth="1"/>
    <col min="12" max="12" width="6.00390625" style="85" bestFit="1" customWidth="1"/>
    <col min="13" max="13" width="6.00390625" style="36" customWidth="1"/>
    <col min="14" max="16" width="8.875" style="28" bestFit="1" customWidth="1"/>
    <col min="17" max="18" width="10.125" style="7" bestFit="1" customWidth="1"/>
    <col min="19" max="19" width="12.875" style="7" bestFit="1" customWidth="1"/>
    <col min="20" max="16384" width="9.00390625" style="7" customWidth="1"/>
  </cols>
  <sheetData>
    <row r="1" spans="1:16" s="1" customFormat="1" ht="13.5">
      <c r="A1" s="5" t="s">
        <v>190</v>
      </c>
      <c r="B1" s="5" t="s">
        <v>38</v>
      </c>
      <c r="C1" s="5" t="s">
        <v>2</v>
      </c>
      <c r="D1" s="5" t="s">
        <v>49</v>
      </c>
      <c r="E1" s="5" t="s">
        <v>41</v>
      </c>
      <c r="F1" s="5" t="s">
        <v>40</v>
      </c>
      <c r="G1" s="6" t="s">
        <v>42</v>
      </c>
      <c r="H1" s="6" t="s">
        <v>43</v>
      </c>
      <c r="I1" s="5" t="s">
        <v>44</v>
      </c>
      <c r="J1" s="42" t="s">
        <v>183</v>
      </c>
      <c r="K1" s="5" t="s">
        <v>177</v>
      </c>
      <c r="L1" s="82" t="s">
        <v>233</v>
      </c>
      <c r="M1" s="87" t="s">
        <v>194</v>
      </c>
      <c r="N1" s="78" t="s">
        <v>209</v>
      </c>
      <c r="O1" s="78" t="s">
        <v>224</v>
      </c>
      <c r="P1" s="78" t="s">
        <v>228</v>
      </c>
    </row>
    <row r="2" spans="1:16" ht="33" customHeight="1">
      <c r="A2" s="38" t="s">
        <v>437</v>
      </c>
      <c r="B2" s="4" t="s">
        <v>438</v>
      </c>
      <c r="C2" s="4" t="s">
        <v>439</v>
      </c>
      <c r="D2" s="18" t="s">
        <v>440</v>
      </c>
      <c r="E2" s="4" t="s">
        <v>441</v>
      </c>
      <c r="F2" s="4">
        <v>1</v>
      </c>
      <c r="G2" s="3">
        <v>3000</v>
      </c>
      <c r="H2" s="3">
        <v>3240</v>
      </c>
      <c r="I2" s="4" t="s">
        <v>442</v>
      </c>
      <c r="J2" s="41">
        <v>42117</v>
      </c>
      <c r="K2" s="38" t="s">
        <v>437</v>
      </c>
      <c r="L2" s="83">
        <v>3044</v>
      </c>
      <c r="M2" s="65" t="s">
        <v>443</v>
      </c>
      <c r="N2" s="66"/>
      <c r="O2" s="66" t="s">
        <v>444</v>
      </c>
      <c r="P2" s="66"/>
    </row>
    <row r="3" spans="1:16" ht="33" customHeight="1">
      <c r="A3" s="38" t="s">
        <v>437</v>
      </c>
      <c r="B3" s="4" t="s">
        <v>445</v>
      </c>
      <c r="C3" s="4" t="s">
        <v>446</v>
      </c>
      <c r="D3" s="18" t="s">
        <v>447</v>
      </c>
      <c r="E3" s="4" t="s">
        <v>448</v>
      </c>
      <c r="F3" s="4">
        <v>1</v>
      </c>
      <c r="G3" s="3">
        <v>2800</v>
      </c>
      <c r="H3" s="3">
        <v>3024</v>
      </c>
      <c r="I3" s="4" t="s">
        <v>442</v>
      </c>
      <c r="J3" s="41">
        <v>42124</v>
      </c>
      <c r="K3" s="38" t="s">
        <v>437</v>
      </c>
      <c r="L3" s="83">
        <v>3044</v>
      </c>
      <c r="M3" s="65" t="s">
        <v>449</v>
      </c>
      <c r="N3" s="66"/>
      <c r="O3" s="66" t="s">
        <v>450</v>
      </c>
      <c r="P3" s="66"/>
    </row>
    <row r="4" spans="1:16" ht="33" customHeight="1">
      <c r="A4" s="38" t="s">
        <v>437</v>
      </c>
      <c r="B4" s="4" t="s">
        <v>451</v>
      </c>
      <c r="C4" s="4" t="s">
        <v>446</v>
      </c>
      <c r="D4" s="18" t="s">
        <v>447</v>
      </c>
      <c r="E4" s="4" t="s">
        <v>448</v>
      </c>
      <c r="F4" s="4">
        <v>1</v>
      </c>
      <c r="G4" s="3">
        <v>2800</v>
      </c>
      <c r="H4" s="3">
        <v>3024</v>
      </c>
      <c r="I4" s="4" t="s">
        <v>442</v>
      </c>
      <c r="J4" s="41">
        <v>42124</v>
      </c>
      <c r="K4" s="38" t="s">
        <v>437</v>
      </c>
      <c r="L4" s="83">
        <v>3044</v>
      </c>
      <c r="M4" s="65" t="s">
        <v>449</v>
      </c>
      <c r="N4" s="66"/>
      <c r="O4" s="66" t="s">
        <v>450</v>
      </c>
      <c r="P4" s="66"/>
    </row>
    <row r="5" spans="1:16" ht="33" customHeight="1">
      <c r="A5" s="38" t="s">
        <v>437</v>
      </c>
      <c r="B5" s="4" t="s">
        <v>452</v>
      </c>
      <c r="C5" s="4" t="s">
        <v>453</v>
      </c>
      <c r="D5" s="18" t="s">
        <v>454</v>
      </c>
      <c r="E5" s="4" t="s">
        <v>441</v>
      </c>
      <c r="F5" s="4">
        <v>1</v>
      </c>
      <c r="G5" s="3">
        <v>1150</v>
      </c>
      <c r="H5" s="3">
        <v>1242</v>
      </c>
      <c r="I5" s="4" t="s">
        <v>442</v>
      </c>
      <c r="J5" s="41">
        <v>42124</v>
      </c>
      <c r="K5" s="38" t="s">
        <v>437</v>
      </c>
      <c r="L5" s="83">
        <v>3044</v>
      </c>
      <c r="M5" s="65" t="s">
        <v>449</v>
      </c>
      <c r="N5" s="66"/>
      <c r="O5" s="66" t="s">
        <v>444</v>
      </c>
      <c r="P5" s="66"/>
    </row>
    <row r="6" spans="1:16" ht="33" customHeight="1">
      <c r="A6" s="38" t="s">
        <v>437</v>
      </c>
      <c r="B6" s="4" t="s">
        <v>455</v>
      </c>
      <c r="C6" s="4" t="s">
        <v>456</v>
      </c>
      <c r="D6" s="18" t="s">
        <v>457</v>
      </c>
      <c r="E6" s="4" t="s">
        <v>50</v>
      </c>
      <c r="F6" s="4">
        <v>1</v>
      </c>
      <c r="G6" s="3">
        <v>680</v>
      </c>
      <c r="H6" s="3">
        <v>734</v>
      </c>
      <c r="I6" s="4"/>
      <c r="J6" s="41">
        <v>42180</v>
      </c>
      <c r="K6" s="38" t="s">
        <v>437</v>
      </c>
      <c r="L6" s="83">
        <v>3183</v>
      </c>
      <c r="M6" s="65" t="s">
        <v>204</v>
      </c>
      <c r="N6" s="66" t="s">
        <v>458</v>
      </c>
      <c r="O6" s="66"/>
      <c r="P6" s="66"/>
    </row>
    <row r="7" spans="1:16" ht="33" customHeight="1">
      <c r="A7" s="38" t="s">
        <v>437</v>
      </c>
      <c r="B7" s="4" t="s">
        <v>459</v>
      </c>
      <c r="C7" s="4" t="s">
        <v>460</v>
      </c>
      <c r="D7" s="18" t="s">
        <v>461</v>
      </c>
      <c r="E7" s="4" t="s">
        <v>462</v>
      </c>
      <c r="F7" s="4">
        <v>1</v>
      </c>
      <c r="G7" s="3">
        <v>1500</v>
      </c>
      <c r="H7" s="3">
        <v>1620</v>
      </c>
      <c r="I7" s="4" t="s">
        <v>442</v>
      </c>
      <c r="J7" s="41">
        <v>42208</v>
      </c>
      <c r="K7" s="38" t="s">
        <v>437</v>
      </c>
      <c r="L7" s="83">
        <v>3183</v>
      </c>
      <c r="M7" s="66" t="s">
        <v>463</v>
      </c>
      <c r="N7" s="66"/>
      <c r="O7" s="66" t="s">
        <v>464</v>
      </c>
      <c r="P7" s="66"/>
    </row>
    <row r="8" spans="1:16" ht="33" customHeight="1">
      <c r="A8" s="38" t="s">
        <v>437</v>
      </c>
      <c r="B8" s="4" t="s">
        <v>465</v>
      </c>
      <c r="C8" s="4" t="s">
        <v>466</v>
      </c>
      <c r="D8" s="18" t="s">
        <v>467</v>
      </c>
      <c r="E8" s="4" t="s">
        <v>50</v>
      </c>
      <c r="F8" s="4">
        <v>1</v>
      </c>
      <c r="G8" s="3">
        <v>620</v>
      </c>
      <c r="H8" s="3">
        <v>670</v>
      </c>
      <c r="I8" s="4"/>
      <c r="J8" s="41">
        <v>42208</v>
      </c>
      <c r="K8" s="38" t="s">
        <v>437</v>
      </c>
      <c r="L8" s="83">
        <v>3183</v>
      </c>
      <c r="M8" s="65" t="s">
        <v>204</v>
      </c>
      <c r="N8" s="66" t="s">
        <v>458</v>
      </c>
      <c r="O8" s="66"/>
      <c r="P8" s="66"/>
    </row>
    <row r="9" spans="1:16" ht="33" customHeight="1">
      <c r="A9" s="38" t="s">
        <v>437</v>
      </c>
      <c r="B9" s="4" t="s">
        <v>468</v>
      </c>
      <c r="C9" s="4" t="s">
        <v>469</v>
      </c>
      <c r="D9" s="18" t="s">
        <v>470</v>
      </c>
      <c r="E9" s="4" t="s">
        <v>471</v>
      </c>
      <c r="F9" s="4">
        <v>1</v>
      </c>
      <c r="G9" s="3">
        <v>1600</v>
      </c>
      <c r="H9" s="3">
        <v>1728</v>
      </c>
      <c r="I9" s="4"/>
      <c r="J9" s="41">
        <v>42299</v>
      </c>
      <c r="K9" s="38" t="s">
        <v>437</v>
      </c>
      <c r="L9" s="83">
        <v>3421</v>
      </c>
      <c r="M9" s="110" t="s">
        <v>472</v>
      </c>
      <c r="N9" s="66" t="s">
        <v>473</v>
      </c>
      <c r="O9" s="111"/>
      <c r="P9" s="111"/>
    </row>
    <row r="10" spans="1:16" ht="33" customHeight="1">
      <c r="A10" s="38" t="s">
        <v>437</v>
      </c>
      <c r="B10" s="4" t="s">
        <v>474</v>
      </c>
      <c r="C10" s="4" t="s">
        <v>475</v>
      </c>
      <c r="D10" s="18" t="s">
        <v>476</v>
      </c>
      <c r="E10" s="4" t="s">
        <v>441</v>
      </c>
      <c r="F10" s="4">
        <v>1</v>
      </c>
      <c r="G10" s="3">
        <v>1300</v>
      </c>
      <c r="H10" s="3">
        <v>1404</v>
      </c>
      <c r="I10" s="4"/>
      <c r="J10" s="41">
        <v>42299</v>
      </c>
      <c r="K10" s="38" t="s">
        <v>437</v>
      </c>
      <c r="L10" s="83">
        <v>3421</v>
      </c>
      <c r="M10" s="110" t="s">
        <v>472</v>
      </c>
      <c r="N10" s="111"/>
      <c r="O10" s="111"/>
      <c r="P10" s="111"/>
    </row>
    <row r="11" spans="1:16" ht="33" customHeight="1">
      <c r="A11" s="38" t="s">
        <v>437</v>
      </c>
      <c r="B11" s="4" t="s">
        <v>477</v>
      </c>
      <c r="C11" s="4" t="s">
        <v>478</v>
      </c>
      <c r="D11" s="18" t="s">
        <v>479</v>
      </c>
      <c r="E11" s="4" t="s">
        <v>55</v>
      </c>
      <c r="F11" s="4">
        <v>1</v>
      </c>
      <c r="G11" s="3">
        <v>2000</v>
      </c>
      <c r="H11" s="3">
        <v>2160</v>
      </c>
      <c r="I11" s="4" t="s">
        <v>442</v>
      </c>
      <c r="J11" s="41">
        <v>41942</v>
      </c>
      <c r="K11" s="38" t="s">
        <v>437</v>
      </c>
      <c r="L11" s="38">
        <v>3438</v>
      </c>
      <c r="M11" s="110" t="s">
        <v>199</v>
      </c>
      <c r="N11" s="37"/>
      <c r="O11" s="94" t="s">
        <v>480</v>
      </c>
      <c r="P11" s="37"/>
    </row>
    <row r="12" spans="1:16" ht="33" customHeight="1">
      <c r="A12" s="38" t="s">
        <v>437</v>
      </c>
      <c r="B12" s="4" t="s">
        <v>481</v>
      </c>
      <c r="C12" s="4" t="s">
        <v>482</v>
      </c>
      <c r="D12" s="18" t="s">
        <v>483</v>
      </c>
      <c r="E12" s="4" t="s">
        <v>55</v>
      </c>
      <c r="F12" s="4">
        <v>1</v>
      </c>
      <c r="G12" s="3">
        <v>2000</v>
      </c>
      <c r="H12" s="3">
        <v>2160</v>
      </c>
      <c r="I12" s="4" t="s">
        <v>442</v>
      </c>
      <c r="J12" s="41">
        <v>41942</v>
      </c>
      <c r="K12" s="38" t="s">
        <v>437</v>
      </c>
      <c r="L12" s="38">
        <v>3438</v>
      </c>
      <c r="M12" s="110" t="s">
        <v>199</v>
      </c>
      <c r="N12" s="37"/>
      <c r="O12" s="94" t="s">
        <v>480</v>
      </c>
      <c r="P12" s="37"/>
    </row>
    <row r="13" spans="1:16" ht="33" customHeight="1">
      <c r="A13" s="38" t="s">
        <v>437</v>
      </c>
      <c r="B13" s="4" t="s">
        <v>484</v>
      </c>
      <c r="C13" s="4" t="s">
        <v>485</v>
      </c>
      <c r="D13" s="18" t="s">
        <v>486</v>
      </c>
      <c r="E13" s="4" t="s">
        <v>487</v>
      </c>
      <c r="F13" s="4">
        <v>1</v>
      </c>
      <c r="G13" s="3">
        <v>3000</v>
      </c>
      <c r="H13" s="3">
        <v>3240</v>
      </c>
      <c r="I13" s="4" t="s">
        <v>442</v>
      </c>
      <c r="J13" s="41">
        <v>42348</v>
      </c>
      <c r="K13" s="38" t="s">
        <v>437</v>
      </c>
      <c r="L13" s="83">
        <v>3421</v>
      </c>
      <c r="M13" s="110" t="s">
        <v>488</v>
      </c>
      <c r="N13" s="111"/>
      <c r="O13" s="112" t="s">
        <v>489</v>
      </c>
      <c r="P13" s="111"/>
    </row>
    <row r="14" spans="1:16" ht="33" customHeight="1">
      <c r="A14" s="38" t="s">
        <v>437</v>
      </c>
      <c r="B14" s="4" t="s">
        <v>490</v>
      </c>
      <c r="C14" s="4" t="s">
        <v>485</v>
      </c>
      <c r="D14" s="18" t="s">
        <v>486</v>
      </c>
      <c r="E14" s="4" t="s">
        <v>487</v>
      </c>
      <c r="F14" s="4">
        <v>1</v>
      </c>
      <c r="G14" s="3">
        <v>3000</v>
      </c>
      <c r="H14" s="3">
        <v>3240</v>
      </c>
      <c r="I14" s="4" t="s">
        <v>442</v>
      </c>
      <c r="J14" s="41">
        <v>42348</v>
      </c>
      <c r="K14" s="38" t="s">
        <v>437</v>
      </c>
      <c r="L14" s="83">
        <v>3421</v>
      </c>
      <c r="M14" s="110" t="s">
        <v>488</v>
      </c>
      <c r="N14" s="111"/>
      <c r="O14" s="112" t="s">
        <v>489</v>
      </c>
      <c r="P14" s="111"/>
    </row>
    <row r="15" spans="2:10" ht="13.5">
      <c r="B15" s="16"/>
      <c r="C15" s="51"/>
      <c r="D15" s="19"/>
      <c r="E15" s="16"/>
      <c r="F15" s="16"/>
      <c r="G15" s="17"/>
      <c r="H15" s="17"/>
      <c r="I15" s="16"/>
      <c r="J15" s="43"/>
    </row>
    <row r="16" ht="13.5">
      <c r="C16" s="16"/>
    </row>
    <row r="17" spans="2:10" ht="15" thickBot="1">
      <c r="B17" s="47" t="s">
        <v>184</v>
      </c>
      <c r="C17" s="48">
        <v>748200</v>
      </c>
      <c r="D17" s="35">
        <f>SUM(F3:F14)</f>
        <v>12</v>
      </c>
      <c r="E17" s="21" t="s">
        <v>46</v>
      </c>
      <c r="F17" s="21"/>
      <c r="G17" s="22"/>
      <c r="H17" s="54">
        <f>SUM(H2:H16)</f>
        <v>27486</v>
      </c>
      <c r="I17" s="23" t="s">
        <v>98</v>
      </c>
      <c r="J17" s="44"/>
    </row>
    <row r="18" spans="2:3" ht="13.5">
      <c r="B18" s="47" t="s">
        <v>186</v>
      </c>
      <c r="C18" s="48">
        <v>66000</v>
      </c>
    </row>
    <row r="19" spans="2:9" ht="13.5">
      <c r="B19" s="47" t="s">
        <v>45</v>
      </c>
      <c r="C19" s="48">
        <f>SUM(C17:C18)</f>
        <v>814200</v>
      </c>
      <c r="G19" s="50" t="s">
        <v>185</v>
      </c>
      <c r="H19" s="49">
        <f>C19-H17</f>
        <v>786714</v>
      </c>
      <c r="I19" s="55"/>
    </row>
    <row r="20" ht="13.5">
      <c r="C20" s="48"/>
    </row>
    <row r="21" spans="2:12" ht="13.5">
      <c r="B21" s="47"/>
      <c r="C21" s="47"/>
      <c r="D21" s="47"/>
      <c r="L21" s="86"/>
    </row>
    <row r="22" spans="2:16" ht="13.5">
      <c r="B22" s="49"/>
      <c r="C22" s="70" t="s">
        <v>238</v>
      </c>
      <c r="D22" s="92">
        <f>25800+400*26+2*930</f>
        <v>38060</v>
      </c>
      <c r="E22" s="73" t="s">
        <v>207</v>
      </c>
      <c r="F22" s="93"/>
      <c r="G22" s="47" t="s">
        <v>208</v>
      </c>
      <c r="H22" s="69">
        <f>SUM(F3:F14)</f>
        <v>12</v>
      </c>
      <c r="I22" s="67" t="s">
        <v>206</v>
      </c>
      <c r="J22" s="67" t="s">
        <v>209</v>
      </c>
      <c r="K22" s="55"/>
      <c r="L22" s="86"/>
      <c r="M22" s="89"/>
      <c r="N22" s="81" t="s">
        <v>229</v>
      </c>
      <c r="O22" s="81" t="s">
        <v>230</v>
      </c>
      <c r="P22" s="81" t="s">
        <v>231</v>
      </c>
    </row>
    <row r="23" spans="2:16" ht="13.5">
      <c r="B23" s="47"/>
      <c r="C23" s="72">
        <v>0.06</v>
      </c>
      <c r="D23" s="68" t="s">
        <v>195</v>
      </c>
      <c r="E23" s="71">
        <v>0.0093</v>
      </c>
      <c r="F23" s="55"/>
      <c r="G23" s="68" t="s">
        <v>195</v>
      </c>
      <c r="H23" s="94">
        <f>COUNTIF(M2:M14,"0類")</f>
        <v>0</v>
      </c>
      <c r="I23" s="95">
        <f>H23/H22</f>
        <v>0</v>
      </c>
      <c r="J23" s="94">
        <f>COUNTIF(N2:N14,"シリーズ0類")</f>
        <v>0</v>
      </c>
      <c r="K23" s="55"/>
      <c r="L23" s="96"/>
      <c r="M23" s="90" t="s">
        <v>195</v>
      </c>
      <c r="N23" s="94">
        <f>COUNTIF(P2:P14,"0類・低")</f>
        <v>0</v>
      </c>
      <c r="O23" s="97">
        <f>COUNTIF(P2:P14,"0類・中")</f>
        <v>0</v>
      </c>
      <c r="P23" s="97">
        <f>COUNTIF(P2:P14,"0類・高")</f>
        <v>0</v>
      </c>
    </row>
    <row r="24" spans="2:16" ht="13.5">
      <c r="B24" s="47"/>
      <c r="C24" s="98">
        <v>0.02</v>
      </c>
      <c r="D24" s="68" t="s">
        <v>196</v>
      </c>
      <c r="E24" s="71">
        <v>0.0059</v>
      </c>
      <c r="F24" s="55"/>
      <c r="G24" s="68" t="s">
        <v>196</v>
      </c>
      <c r="H24" s="94">
        <f>COUNTIF(M2:M14,"1類")</f>
        <v>0</v>
      </c>
      <c r="I24" s="95">
        <f>H24/H22</f>
        <v>0</v>
      </c>
      <c r="J24" s="99">
        <f>COUNTIF(N2:N14,"シリーズ1類")</f>
        <v>0</v>
      </c>
      <c r="K24" s="55"/>
      <c r="L24" s="96"/>
      <c r="M24" s="90" t="s">
        <v>196</v>
      </c>
      <c r="N24" s="97">
        <f>COUNTIF(P2:P14,"1類・低")</f>
        <v>0</v>
      </c>
      <c r="O24" s="97">
        <f>COUNTIF(P2:P14,"1類・中")</f>
        <v>0</v>
      </c>
      <c r="P24" s="94">
        <f>COUNTIF(P2:P14,"1類・高")</f>
        <v>0</v>
      </c>
    </row>
    <row r="25" spans="2:16" ht="13.5">
      <c r="B25" s="47"/>
      <c r="C25" s="98">
        <v>0.18</v>
      </c>
      <c r="D25" s="68" t="s">
        <v>197</v>
      </c>
      <c r="E25" s="71">
        <v>0.0827</v>
      </c>
      <c r="F25" s="55"/>
      <c r="G25" s="68" t="s">
        <v>197</v>
      </c>
      <c r="H25" s="94">
        <f>COUNTIF(M2:M14,"2類")</f>
        <v>2</v>
      </c>
      <c r="I25" s="95">
        <f>H25/H22</f>
        <v>0.16666666666666666</v>
      </c>
      <c r="J25" s="94">
        <f>COUNTIF(N2:N14,"シリーズ2類")</f>
        <v>0</v>
      </c>
      <c r="K25" s="55"/>
      <c r="L25" s="96"/>
      <c r="M25" s="90" t="s">
        <v>197</v>
      </c>
      <c r="N25" s="97">
        <f>COUNTIF(P2:P14,"2類・低")</f>
        <v>0</v>
      </c>
      <c r="O25" s="97">
        <f>COUNTIF(P2:P14,"2類・中")</f>
        <v>0</v>
      </c>
      <c r="P25" s="94">
        <f>COUNTIF(P2:P14,"2類・高")</f>
        <v>0</v>
      </c>
    </row>
    <row r="26" spans="2:16" ht="13.5">
      <c r="B26" s="47"/>
      <c r="C26" s="98">
        <v>0.09</v>
      </c>
      <c r="D26" s="68" t="s">
        <v>198</v>
      </c>
      <c r="E26" s="71">
        <v>0.0564</v>
      </c>
      <c r="F26" s="55"/>
      <c r="G26" s="68" t="s">
        <v>198</v>
      </c>
      <c r="H26" s="94">
        <f>COUNTIF(M2:M14,"3類")</f>
        <v>0</v>
      </c>
      <c r="I26" s="95">
        <f>H26/H22</f>
        <v>0</v>
      </c>
      <c r="J26" s="99">
        <f>COUNTIF(N2:N14,"シリーズ3類")</f>
        <v>0</v>
      </c>
      <c r="K26" s="55"/>
      <c r="L26" s="96"/>
      <c r="M26" s="90" t="s">
        <v>198</v>
      </c>
      <c r="N26" s="97">
        <f>COUNTIF(P2:P14,"3類・低")</f>
        <v>0</v>
      </c>
      <c r="O26" s="97">
        <f>COUNTIF(P2:P14,"3類・中")</f>
        <v>0</v>
      </c>
      <c r="P26" s="94">
        <f>COUNTIF(P2:P14,"3類・高")</f>
        <v>0</v>
      </c>
    </row>
    <row r="27" spans="2:16" ht="13.5">
      <c r="B27" s="47"/>
      <c r="C27" s="98">
        <v>0.15</v>
      </c>
      <c r="D27" s="68" t="s">
        <v>199</v>
      </c>
      <c r="E27" s="71">
        <v>0.0954</v>
      </c>
      <c r="F27" s="55"/>
      <c r="G27" s="68" t="s">
        <v>199</v>
      </c>
      <c r="H27" s="94">
        <f>COUNTIF(M2:M14,"4類")</f>
        <v>3</v>
      </c>
      <c r="I27" s="95">
        <f>H27/H22</f>
        <v>0.25</v>
      </c>
      <c r="J27" s="99">
        <f>COUNTIF(N2:N14,"シリーズ4類")</f>
        <v>0</v>
      </c>
      <c r="K27" s="55"/>
      <c r="L27" s="96"/>
      <c r="M27" s="90" t="s">
        <v>199</v>
      </c>
      <c r="N27" s="97">
        <f>COUNTIF(P2:P14,"4類・低")</f>
        <v>0</v>
      </c>
      <c r="O27" s="97">
        <f>COUNTIF(P2:P14,"4類・中")</f>
        <v>0</v>
      </c>
      <c r="P27" s="94">
        <f>COUNTIF(P2:P14,"4類・高")</f>
        <v>0</v>
      </c>
    </row>
    <row r="28" spans="2:16" ht="13.5">
      <c r="B28" s="47"/>
      <c r="C28" s="98">
        <v>0.06</v>
      </c>
      <c r="D28" s="68" t="s">
        <v>200</v>
      </c>
      <c r="E28" s="71">
        <v>0.051</v>
      </c>
      <c r="F28" s="55"/>
      <c r="G28" s="68" t="s">
        <v>200</v>
      </c>
      <c r="H28" s="94">
        <f>COUNTIF(M2:M14,"5類")</f>
        <v>0</v>
      </c>
      <c r="I28" s="95">
        <f>H28/H22</f>
        <v>0</v>
      </c>
      <c r="J28" s="99">
        <f>COUNTIF(N2:N14,"シリーズ5類")</f>
        <v>0</v>
      </c>
      <c r="K28" s="55"/>
      <c r="L28" s="96"/>
      <c r="M28" s="90" t="s">
        <v>200</v>
      </c>
      <c r="N28" s="97">
        <f>COUNTIF(P2:P14,"5類・低")</f>
        <v>0</v>
      </c>
      <c r="O28" s="97">
        <f>COUNTIF(P2:P14,"5類・中")</f>
        <v>0</v>
      </c>
      <c r="P28" s="94">
        <f>COUNTIF(P2:P14,"5類・高")</f>
        <v>0</v>
      </c>
    </row>
    <row r="29" spans="2:16" ht="13.5">
      <c r="B29" s="47"/>
      <c r="C29" s="98">
        <v>0.05</v>
      </c>
      <c r="D29" s="68" t="s">
        <v>201</v>
      </c>
      <c r="E29" s="71">
        <v>0.0314</v>
      </c>
      <c r="F29" s="55"/>
      <c r="G29" s="68" t="s">
        <v>201</v>
      </c>
      <c r="H29" s="94">
        <f>COUNTIF(M2:M14,"6類")</f>
        <v>3</v>
      </c>
      <c r="I29" s="95">
        <f>H29/H22</f>
        <v>0.25</v>
      </c>
      <c r="J29" s="99">
        <f>COUNTIF(N2:N14,"シリーズ6類")</f>
        <v>0</v>
      </c>
      <c r="K29" s="55"/>
      <c r="L29" s="96"/>
      <c r="M29" s="90" t="s">
        <v>201</v>
      </c>
      <c r="N29" s="97">
        <f>COUNTIF(P2:P14,"6類・低")</f>
        <v>0</v>
      </c>
      <c r="O29" s="97">
        <f>COUNTIF(P2:P14,"6類・中")</f>
        <v>0</v>
      </c>
      <c r="P29" s="94">
        <f>COUNTIF(P2:P14,"6類・高")</f>
        <v>0</v>
      </c>
    </row>
    <row r="30" spans="2:16" ht="13.5">
      <c r="B30" s="47"/>
      <c r="C30" s="98">
        <v>0.09</v>
      </c>
      <c r="D30" s="68" t="s">
        <v>202</v>
      </c>
      <c r="E30" s="71">
        <v>0.0826</v>
      </c>
      <c r="F30" s="55"/>
      <c r="G30" s="68" t="s">
        <v>202</v>
      </c>
      <c r="H30" s="94">
        <f>COUNTIF(M2:M14,"7類")</f>
        <v>0</v>
      </c>
      <c r="I30" s="95">
        <f>H30/H22</f>
        <v>0</v>
      </c>
      <c r="J30" s="99">
        <f>COUNTIF(N2:N14,"シリーズ7類")</f>
        <v>0</v>
      </c>
      <c r="K30" s="55"/>
      <c r="L30" s="96"/>
      <c r="M30" s="90" t="s">
        <v>202</v>
      </c>
      <c r="N30" s="97">
        <f>COUNTIF(P2:P14,"7類・低")</f>
        <v>0</v>
      </c>
      <c r="O30" s="97">
        <f>COUNTIF(P2:P14,"7類・中")</f>
        <v>0</v>
      </c>
      <c r="P30" s="94">
        <f>COUNTIF(P2:P14,"7類・高")</f>
        <v>0</v>
      </c>
    </row>
    <row r="31" spans="2:16" ht="13.5">
      <c r="B31" s="47"/>
      <c r="C31" s="98">
        <v>0.04</v>
      </c>
      <c r="D31" s="68" t="s">
        <v>203</v>
      </c>
      <c r="E31" s="71">
        <v>0.0224</v>
      </c>
      <c r="F31" s="55"/>
      <c r="G31" s="68" t="s">
        <v>203</v>
      </c>
      <c r="H31" s="94">
        <f>COUNTIF(M2:M14,"8類")</f>
        <v>0</v>
      </c>
      <c r="I31" s="95">
        <f>H31/H22</f>
        <v>0</v>
      </c>
      <c r="J31" s="99">
        <f>COUNTIF(N2:N14,"シリーズ8類")</f>
        <v>0</v>
      </c>
      <c r="K31" s="55"/>
      <c r="L31" s="96"/>
      <c r="M31" s="90" t="s">
        <v>203</v>
      </c>
      <c r="N31" s="97">
        <f>COUNTIF(P2:P14,"8類・低")</f>
        <v>0</v>
      </c>
      <c r="O31" s="97">
        <f>COUNTIF(P2:P14,"8類・中")</f>
        <v>0</v>
      </c>
      <c r="P31" s="94">
        <f>COUNTIF(P2:P14,"8類・高")</f>
        <v>0</v>
      </c>
    </row>
    <row r="32" spans="2:16" ht="13.5">
      <c r="B32" s="47"/>
      <c r="C32" s="98">
        <v>0.26</v>
      </c>
      <c r="D32" s="68" t="s">
        <v>204</v>
      </c>
      <c r="E32" s="71">
        <v>0.3306</v>
      </c>
      <c r="F32" s="55"/>
      <c r="G32" s="68" t="s">
        <v>204</v>
      </c>
      <c r="H32" s="94">
        <f>COUNTIF(M2:M14,"9類")</f>
        <v>2</v>
      </c>
      <c r="I32" s="95">
        <f>H32/H22</f>
        <v>0.16666666666666666</v>
      </c>
      <c r="J32" s="94">
        <f>COUNTIF(N2:N14,"シリーズ9類")</f>
        <v>2</v>
      </c>
      <c r="K32" s="55"/>
      <c r="L32" s="96"/>
      <c r="M32" s="90" t="s">
        <v>204</v>
      </c>
      <c r="N32" s="97">
        <f>COUNTIF(P2:P14,"9類・低")</f>
        <v>0</v>
      </c>
      <c r="O32" s="97">
        <f>COUNTIF(P2:P14,"9類・中")</f>
        <v>0</v>
      </c>
      <c r="P32" s="94">
        <f>COUNTIF(P2:P14,"9類・高")</f>
        <v>0</v>
      </c>
    </row>
    <row r="33" spans="2:16" ht="13.5">
      <c r="B33" s="47"/>
      <c r="C33" s="98"/>
      <c r="D33" s="68" t="s">
        <v>205</v>
      </c>
      <c r="E33" s="71">
        <v>0.19</v>
      </c>
      <c r="F33" s="55"/>
      <c r="G33" s="68" t="s">
        <v>205</v>
      </c>
      <c r="H33" s="94">
        <f>COUNTIF(M2:M14,"E")</f>
        <v>3</v>
      </c>
      <c r="I33" s="95">
        <f>H33/H22</f>
        <v>0.25</v>
      </c>
      <c r="J33" s="94">
        <f>COUNTIF(N2:N15,"シリーズE")</f>
        <v>1</v>
      </c>
      <c r="K33" s="55"/>
      <c r="L33" s="96"/>
      <c r="M33" s="90" t="s">
        <v>205</v>
      </c>
      <c r="N33" s="97">
        <f>COUNTIF(P2:P14,"E・低")</f>
        <v>0</v>
      </c>
      <c r="O33" s="97">
        <f>COUNTIF(P2:P14,"E・中")</f>
        <v>0</v>
      </c>
      <c r="P33" s="94">
        <f>COUNTIF(P2:P14,"E・高")</f>
        <v>0</v>
      </c>
    </row>
    <row r="34" spans="2:16" ht="13.5">
      <c r="B34" s="47"/>
      <c r="C34" s="55"/>
      <c r="D34" s="68" t="s">
        <v>211</v>
      </c>
      <c r="E34" s="68"/>
      <c r="F34" s="55"/>
      <c r="G34" s="68" t="s">
        <v>211</v>
      </c>
      <c r="H34" s="94">
        <f>COUNTIF(M2:M14,"M")</f>
        <v>0</v>
      </c>
      <c r="I34" s="94"/>
      <c r="J34" s="94">
        <f>COUNTIF(N2:N15,"シリーズM")</f>
        <v>0</v>
      </c>
      <c r="K34" s="55"/>
      <c r="L34" s="96"/>
      <c r="M34" s="90" t="s">
        <v>211</v>
      </c>
      <c r="N34" s="97">
        <f>COUNTIF(P2:P14,"まんが・低")</f>
        <v>0</v>
      </c>
      <c r="O34" s="97">
        <f>COUNTIF(P2:P14,"まんが・中")</f>
        <v>0</v>
      </c>
      <c r="P34" s="94">
        <f>COUNTIF(P2:P14,"まんが・高")</f>
        <v>0</v>
      </c>
    </row>
    <row r="35" spans="3:16" ht="13.5">
      <c r="C35" s="55"/>
      <c r="D35" s="100"/>
      <c r="E35" s="55"/>
      <c r="F35" s="55"/>
      <c r="G35" s="101"/>
      <c r="H35" s="101"/>
      <c r="I35" s="55"/>
      <c r="J35" s="102"/>
      <c r="K35" s="55"/>
      <c r="L35" s="96"/>
      <c r="M35" s="100"/>
      <c r="N35" s="103"/>
      <c r="O35" s="103"/>
      <c r="P35" s="103"/>
    </row>
    <row r="36" spans="3:16" ht="13.5">
      <c r="C36" s="38" t="s">
        <v>491</v>
      </c>
      <c r="D36" s="38" t="s">
        <v>212</v>
      </c>
      <c r="E36" s="38" t="s">
        <v>232</v>
      </c>
      <c r="F36" s="38" t="s">
        <v>225</v>
      </c>
      <c r="G36" s="38" t="s">
        <v>226</v>
      </c>
      <c r="H36" s="80" t="s">
        <v>227</v>
      </c>
      <c r="I36" s="55"/>
      <c r="J36" s="102"/>
      <c r="K36" s="55"/>
      <c r="L36" s="96"/>
      <c r="M36" s="100"/>
      <c r="N36" s="103"/>
      <c r="O36" s="103"/>
      <c r="P36" s="103"/>
    </row>
    <row r="37" spans="3:16" ht="13.5">
      <c r="C37" s="68" t="s">
        <v>213</v>
      </c>
      <c r="D37" s="68">
        <f>COUNTIF(O2:O14,"1年のりもの")</f>
        <v>0</v>
      </c>
      <c r="E37" s="68">
        <v>51</v>
      </c>
      <c r="F37" s="68">
        <v>0</v>
      </c>
      <c r="G37" s="68">
        <v>60</v>
      </c>
      <c r="H37" s="91">
        <f>D37+E37-G37</f>
        <v>-9</v>
      </c>
      <c r="I37" s="55"/>
      <c r="J37" s="102"/>
      <c r="K37" s="55"/>
      <c r="L37" s="96"/>
      <c r="M37" s="100"/>
      <c r="N37" s="103"/>
      <c r="O37" s="103"/>
      <c r="P37" s="103"/>
    </row>
    <row r="38" spans="3:16" ht="13.5">
      <c r="C38" s="68" t="s">
        <v>214</v>
      </c>
      <c r="D38" s="68">
        <f>COUNTIF(O2:O14,"2年昔話")</f>
        <v>1</v>
      </c>
      <c r="E38" s="68">
        <v>35</v>
      </c>
      <c r="F38" s="68">
        <v>5</v>
      </c>
      <c r="G38" s="68">
        <v>50</v>
      </c>
      <c r="H38" s="91">
        <f aca="true" t="shared" si="0" ref="H38:H47">D38+E38-G38</f>
        <v>-14</v>
      </c>
      <c r="I38" s="55"/>
      <c r="J38" s="102"/>
      <c r="K38" s="55"/>
      <c r="L38" s="96"/>
      <c r="M38" s="100"/>
      <c r="N38" s="103"/>
      <c r="O38" s="103"/>
      <c r="P38" s="103"/>
    </row>
    <row r="39" spans="3:16" ht="13.5">
      <c r="C39" s="68" t="s">
        <v>215</v>
      </c>
      <c r="D39" s="68">
        <f>COUNTIF(O2:O14,"2年図鑑")</f>
        <v>2</v>
      </c>
      <c r="E39" s="68">
        <v>28</v>
      </c>
      <c r="F39" s="68">
        <v>0</v>
      </c>
      <c r="G39" s="68">
        <v>40</v>
      </c>
      <c r="H39" s="91">
        <f t="shared" si="0"/>
        <v>-10</v>
      </c>
      <c r="I39" s="55"/>
      <c r="J39" s="102"/>
      <c r="K39" s="55"/>
      <c r="L39" s="96"/>
      <c r="M39" s="100"/>
      <c r="N39" s="103"/>
      <c r="O39" s="103"/>
      <c r="P39" s="103"/>
    </row>
    <row r="40" spans="3:16" ht="13.5">
      <c r="C40" s="68" t="s">
        <v>216</v>
      </c>
      <c r="D40" s="68">
        <f>COUNTIF(O2:O14,"3年研究")</f>
        <v>0</v>
      </c>
      <c r="E40" s="68"/>
      <c r="F40" s="68"/>
      <c r="G40" s="68"/>
      <c r="H40" s="91">
        <f t="shared" si="0"/>
        <v>0</v>
      </c>
      <c r="I40" s="55"/>
      <c r="J40" s="102"/>
      <c r="K40" s="55"/>
      <c r="L40" s="96"/>
      <c r="M40" s="100"/>
      <c r="N40" s="103"/>
      <c r="O40" s="103"/>
      <c r="P40" s="103"/>
    </row>
    <row r="41" spans="3:16" ht="13.5">
      <c r="C41" s="68" t="s">
        <v>217</v>
      </c>
      <c r="D41" s="68">
        <f>COUNTIF(O2:O14,"3年昔の暮らし")</f>
        <v>0</v>
      </c>
      <c r="E41" s="68">
        <v>63</v>
      </c>
      <c r="F41" s="68">
        <v>20</v>
      </c>
      <c r="G41" s="68">
        <v>60</v>
      </c>
      <c r="H41" s="91">
        <f t="shared" si="0"/>
        <v>3</v>
      </c>
      <c r="I41" s="55"/>
      <c r="J41" s="102"/>
      <c r="K41" s="55"/>
      <c r="L41" s="96"/>
      <c r="M41" s="100"/>
      <c r="N41" s="103"/>
      <c r="O41" s="103"/>
      <c r="P41" s="103"/>
    </row>
    <row r="42" spans="3:16" ht="13.5">
      <c r="C42" s="68" t="s">
        <v>218</v>
      </c>
      <c r="D42" s="68">
        <f>COUNTIF(O2:O14,"4年UD")</f>
        <v>0</v>
      </c>
      <c r="E42" s="68">
        <v>27</v>
      </c>
      <c r="F42" s="68">
        <v>10</v>
      </c>
      <c r="G42" s="68">
        <v>40</v>
      </c>
      <c r="H42" s="91">
        <f t="shared" si="0"/>
        <v>-13</v>
      </c>
      <c r="I42" s="55"/>
      <c r="J42" s="102"/>
      <c r="K42" s="55"/>
      <c r="L42" s="96"/>
      <c r="M42" s="100"/>
      <c r="N42" s="103"/>
      <c r="O42" s="103"/>
      <c r="P42" s="103"/>
    </row>
    <row r="43" spans="3:16" ht="13.5">
      <c r="C43" s="68" t="s">
        <v>219</v>
      </c>
      <c r="D43" s="68">
        <f>COUNTIF(O2:O14,"5年都道府県")</f>
        <v>2</v>
      </c>
      <c r="E43" s="68">
        <v>14</v>
      </c>
      <c r="F43" s="68">
        <v>0</v>
      </c>
      <c r="G43" s="68">
        <v>60</v>
      </c>
      <c r="H43" s="91">
        <f t="shared" si="0"/>
        <v>-44</v>
      </c>
      <c r="I43" s="55"/>
      <c r="J43" s="102"/>
      <c r="K43" s="55"/>
      <c r="L43" s="96"/>
      <c r="M43" s="100"/>
      <c r="N43" s="103"/>
      <c r="O43" s="103"/>
      <c r="P43" s="103"/>
    </row>
    <row r="44" spans="3:16" ht="13.5">
      <c r="C44" s="68" t="s">
        <v>220</v>
      </c>
      <c r="D44" s="68">
        <f>COUNTIF(O2:O14,"5年産業")</f>
        <v>2</v>
      </c>
      <c r="E44" s="68">
        <v>41</v>
      </c>
      <c r="F44" s="68">
        <v>0</v>
      </c>
      <c r="G44" s="68">
        <v>60</v>
      </c>
      <c r="H44" s="91">
        <f t="shared" si="0"/>
        <v>-17</v>
      </c>
      <c r="I44" s="55"/>
      <c r="J44" s="102"/>
      <c r="K44" s="55"/>
      <c r="L44" s="96"/>
      <c r="M44" s="100"/>
      <c r="N44" s="103"/>
      <c r="O44" s="103"/>
      <c r="P44" s="103"/>
    </row>
    <row r="45" spans="3:16" ht="13.5">
      <c r="C45" s="68" t="s">
        <v>221</v>
      </c>
      <c r="D45" s="68">
        <f>COUNTIF(O2:O14,"6年仕事")</f>
        <v>2</v>
      </c>
      <c r="E45" s="68">
        <v>71</v>
      </c>
      <c r="F45" s="68">
        <v>0</v>
      </c>
      <c r="G45" s="68">
        <v>160</v>
      </c>
      <c r="H45" s="91">
        <f t="shared" si="0"/>
        <v>-87</v>
      </c>
      <c r="I45" s="55"/>
      <c r="J45" s="102"/>
      <c r="K45" s="55"/>
      <c r="L45" s="96"/>
      <c r="M45" s="100"/>
      <c r="N45" s="103"/>
      <c r="O45" s="103"/>
      <c r="P45" s="103"/>
    </row>
    <row r="46" spans="3:16" ht="13.5">
      <c r="C46" s="68" t="s">
        <v>222</v>
      </c>
      <c r="D46" s="68">
        <f>COUNTIF(O2:O14,"6年戦争調べ")</f>
        <v>0</v>
      </c>
      <c r="E46" s="68">
        <v>46</v>
      </c>
      <c r="F46" s="68">
        <v>0</v>
      </c>
      <c r="G46" s="68">
        <v>80</v>
      </c>
      <c r="H46" s="91">
        <f t="shared" si="0"/>
        <v>-34</v>
      </c>
      <c r="I46" s="55"/>
      <c r="J46" s="102"/>
      <c r="K46" s="55"/>
      <c r="L46" s="96"/>
      <c r="M46" s="100"/>
      <c r="N46" s="103"/>
      <c r="O46" s="103"/>
      <c r="P46" s="103"/>
    </row>
    <row r="47" spans="3:16" ht="13.5">
      <c r="C47" s="68" t="s">
        <v>223</v>
      </c>
      <c r="D47" s="68">
        <f>COUNTIF(O2:O14,"6年戦争文学")</f>
        <v>0</v>
      </c>
      <c r="E47" s="68">
        <v>54</v>
      </c>
      <c r="F47" s="68">
        <v>20</v>
      </c>
      <c r="G47" s="68">
        <v>80</v>
      </c>
      <c r="H47" s="91">
        <f t="shared" si="0"/>
        <v>-26</v>
      </c>
      <c r="I47" s="55"/>
      <c r="J47" s="102"/>
      <c r="K47" s="55"/>
      <c r="L47" s="96"/>
      <c r="M47" s="100"/>
      <c r="N47" s="103"/>
      <c r="O47" s="103"/>
      <c r="P47" s="103"/>
    </row>
    <row r="48" spans="3:16" ht="13.5">
      <c r="C48" s="68" t="s">
        <v>234</v>
      </c>
      <c r="D48" s="68">
        <f>COUNTIF(O2:O14,"6年まちづくり")</f>
        <v>0</v>
      </c>
      <c r="E48" s="68">
        <v>0</v>
      </c>
      <c r="F48" s="68">
        <v>0</v>
      </c>
      <c r="G48" s="68">
        <v>20</v>
      </c>
      <c r="H48" s="91">
        <f>D48+E48-G48</f>
        <v>-20</v>
      </c>
      <c r="I48" s="55"/>
      <c r="J48" s="102"/>
      <c r="K48" s="55"/>
      <c r="L48" s="96"/>
      <c r="M48" s="100"/>
      <c r="N48" s="103"/>
      <c r="O48" s="103"/>
      <c r="P48" s="103"/>
    </row>
  </sheetData>
  <sheetProtection/>
  <autoFilter ref="A1:P12"/>
  <dataValidations count="1">
    <dataValidation allowBlank="1" showInputMessage="1" showErrorMessage="1" imeMode="on" sqref="D5 M5:N5 M2:P2 O7:P7"/>
  </dataValidation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12" scale="91"/>
  <headerFooter alignWithMargins="0">
    <oddFooter>&amp;L桜井谷東小学校&amp;C&amp;P ページ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zoomScalePageLayoutView="0" workbookViewId="0" topLeftCell="A1">
      <pane ySplit="2" topLeftCell="A3" activePane="bottomLeft" state="frozen"/>
      <selection pane="topLeft" activeCell="A16" sqref="A16"/>
      <selection pane="bottomLeft" activeCell="E3" sqref="E3"/>
    </sheetView>
  </sheetViews>
  <sheetFormatPr defaultColWidth="8.875" defaultRowHeight="49.5" customHeight="1"/>
  <cols>
    <col min="1" max="1" width="45.875" style="11" customWidth="1"/>
    <col min="2" max="2" width="25.625" style="12" customWidth="1"/>
    <col min="3" max="3" width="11.625" style="76" bestFit="1" customWidth="1"/>
    <col min="4" max="4" width="9.125" style="11" customWidth="1"/>
  </cols>
  <sheetData>
    <row r="1" spans="1:4" ht="24" customHeight="1">
      <c r="A1" s="40" t="s">
        <v>182</v>
      </c>
      <c r="B1" s="108">
        <v>42401</v>
      </c>
      <c r="C1" s="109"/>
      <c r="D1" s="109"/>
    </row>
    <row r="2" spans="1:4" ht="22.5">
      <c r="A2" s="39" t="s">
        <v>178</v>
      </c>
      <c r="B2" s="77" t="s">
        <v>179</v>
      </c>
      <c r="C2" s="74" t="s">
        <v>180</v>
      </c>
      <c r="D2" s="39" t="s">
        <v>181</v>
      </c>
    </row>
    <row r="3" spans="1:4" ht="49.5" customHeight="1">
      <c r="A3" s="46" t="s">
        <v>397</v>
      </c>
      <c r="B3" s="46" t="s">
        <v>268</v>
      </c>
      <c r="C3" s="75" t="s">
        <v>401</v>
      </c>
      <c r="D3" s="75" t="s">
        <v>269</v>
      </c>
    </row>
    <row r="4" spans="1:4" ht="49.5" customHeight="1">
      <c r="A4" s="46" t="s">
        <v>396</v>
      </c>
      <c r="B4" s="46" t="s">
        <v>268</v>
      </c>
      <c r="C4" s="75" t="s">
        <v>401</v>
      </c>
      <c r="D4" s="75" t="s">
        <v>270</v>
      </c>
    </row>
    <row r="5" spans="1:4" ht="49.5" customHeight="1">
      <c r="A5" s="46" t="s">
        <v>352</v>
      </c>
      <c r="B5" s="46" t="s">
        <v>277</v>
      </c>
      <c r="C5" s="75" t="s">
        <v>402</v>
      </c>
      <c r="D5" s="75" t="s">
        <v>278</v>
      </c>
    </row>
    <row r="6" spans="1:4" ht="49.5" customHeight="1">
      <c r="A6" s="75" t="s">
        <v>372</v>
      </c>
      <c r="B6" s="46" t="s">
        <v>302</v>
      </c>
      <c r="C6" s="75" t="s">
        <v>403</v>
      </c>
      <c r="D6" s="75" t="s">
        <v>303</v>
      </c>
    </row>
    <row r="7" spans="1:4" ht="49.5" customHeight="1">
      <c r="A7" s="75" t="s">
        <v>371</v>
      </c>
      <c r="B7" s="46" t="s">
        <v>302</v>
      </c>
      <c r="C7" s="75" t="s">
        <v>403</v>
      </c>
      <c r="D7" s="75" t="s">
        <v>303</v>
      </c>
    </row>
    <row r="8" spans="1:4" ht="49.5" customHeight="1">
      <c r="A8" s="75" t="s">
        <v>370</v>
      </c>
      <c r="B8" s="46" t="s">
        <v>302</v>
      </c>
      <c r="C8" s="75" t="s">
        <v>403</v>
      </c>
      <c r="D8" s="75" t="s">
        <v>303</v>
      </c>
    </row>
    <row r="9" spans="1:4" ht="49.5" customHeight="1">
      <c r="A9" s="75" t="s">
        <v>369</v>
      </c>
      <c r="B9" s="46" t="s">
        <v>302</v>
      </c>
      <c r="C9" s="75" t="s">
        <v>403</v>
      </c>
      <c r="D9" s="75" t="s">
        <v>303</v>
      </c>
    </row>
    <row r="10" spans="1:4" ht="49.5" customHeight="1">
      <c r="A10" s="75" t="s">
        <v>368</v>
      </c>
      <c r="B10" s="46" t="s">
        <v>302</v>
      </c>
      <c r="C10" s="75" t="s">
        <v>403</v>
      </c>
      <c r="D10" s="75" t="s">
        <v>303</v>
      </c>
    </row>
    <row r="11" spans="1:4" ht="49.5" customHeight="1">
      <c r="A11" s="75" t="s">
        <v>367</v>
      </c>
      <c r="B11" s="46" t="s">
        <v>302</v>
      </c>
      <c r="C11" s="75" t="s">
        <v>403</v>
      </c>
      <c r="D11" s="75" t="s">
        <v>303</v>
      </c>
    </row>
    <row r="12" spans="1:4" ht="49.5" customHeight="1">
      <c r="A12" s="75" t="s">
        <v>366</v>
      </c>
      <c r="B12" s="46" t="s">
        <v>302</v>
      </c>
      <c r="C12" s="75" t="s">
        <v>403</v>
      </c>
      <c r="D12" s="75" t="s">
        <v>303</v>
      </c>
    </row>
    <row r="13" spans="1:4" ht="49.5" customHeight="1">
      <c r="A13" s="46" t="s">
        <v>353</v>
      </c>
      <c r="B13" s="46" t="s">
        <v>268</v>
      </c>
      <c r="C13" s="75" t="s">
        <v>404</v>
      </c>
      <c r="D13" s="75" t="s">
        <v>279</v>
      </c>
    </row>
    <row r="14" spans="1:4" ht="49.5" customHeight="1">
      <c r="A14" s="46" t="s">
        <v>354</v>
      </c>
      <c r="B14" s="46" t="s">
        <v>268</v>
      </c>
      <c r="C14" s="75" t="s">
        <v>405</v>
      </c>
      <c r="D14" s="75" t="s">
        <v>271</v>
      </c>
    </row>
    <row r="15" spans="1:4" ht="49.5" customHeight="1">
      <c r="A15" s="46" t="s">
        <v>395</v>
      </c>
      <c r="B15" s="46" t="s">
        <v>268</v>
      </c>
      <c r="C15" s="75" t="s">
        <v>405</v>
      </c>
      <c r="D15" s="75" t="s">
        <v>271</v>
      </c>
    </row>
    <row r="16" spans="1:4" ht="49.5" customHeight="1">
      <c r="A16" s="46" t="s">
        <v>374</v>
      </c>
      <c r="B16" s="46" t="s">
        <v>266</v>
      </c>
      <c r="C16" s="75" t="s">
        <v>406</v>
      </c>
      <c r="D16" s="75" t="s">
        <v>267</v>
      </c>
    </row>
    <row r="17" spans="1:4" ht="49.5" customHeight="1">
      <c r="A17" s="46" t="s">
        <v>373</v>
      </c>
      <c r="B17" s="46" t="s">
        <v>266</v>
      </c>
      <c r="C17" s="75" t="s">
        <v>418</v>
      </c>
      <c r="D17" s="75" t="s">
        <v>267</v>
      </c>
    </row>
    <row r="18" spans="1:4" ht="49.5" customHeight="1">
      <c r="A18" s="46" t="s">
        <v>340</v>
      </c>
      <c r="B18" s="46" t="s">
        <v>242</v>
      </c>
      <c r="C18" s="75" t="s">
        <v>416</v>
      </c>
      <c r="D18" s="75" t="s">
        <v>243</v>
      </c>
    </row>
    <row r="19" spans="1:4" ht="49.5" customHeight="1">
      <c r="A19" s="46" t="s">
        <v>398</v>
      </c>
      <c r="B19" s="46" t="s">
        <v>244</v>
      </c>
      <c r="C19" s="75" t="s">
        <v>417</v>
      </c>
      <c r="D19" s="75" t="s">
        <v>245</v>
      </c>
    </row>
    <row r="20" spans="1:4" ht="49.5" customHeight="1">
      <c r="A20" s="46" t="s">
        <v>346</v>
      </c>
      <c r="B20" s="46" t="s">
        <v>258</v>
      </c>
      <c r="C20" s="75" t="s">
        <v>416</v>
      </c>
      <c r="D20" s="75" t="s">
        <v>259</v>
      </c>
    </row>
    <row r="21" spans="1:4" ht="49.5" customHeight="1">
      <c r="A21" s="46" t="s">
        <v>376</v>
      </c>
      <c r="B21" s="46" t="s">
        <v>306</v>
      </c>
      <c r="C21" s="75" t="s">
        <v>415</v>
      </c>
      <c r="D21" s="75" t="s">
        <v>305</v>
      </c>
    </row>
    <row r="22" spans="1:4" ht="49.5" customHeight="1">
      <c r="A22" s="46" t="s">
        <v>375</v>
      </c>
      <c r="B22" s="46" t="s">
        <v>304</v>
      </c>
      <c r="C22" s="75" t="s">
        <v>415</v>
      </c>
      <c r="D22" s="75" t="s">
        <v>305</v>
      </c>
    </row>
    <row r="23" spans="1:4" ht="49.5" customHeight="1">
      <c r="A23" s="46" t="s">
        <v>392</v>
      </c>
      <c r="B23" s="46" t="s">
        <v>235</v>
      </c>
      <c r="C23" s="75" t="s">
        <v>415</v>
      </c>
      <c r="D23" s="75" t="s">
        <v>305</v>
      </c>
    </row>
    <row r="24" spans="1:4" ht="49.5" customHeight="1">
      <c r="A24" s="46" t="s">
        <v>391</v>
      </c>
      <c r="B24" s="46" t="s">
        <v>236</v>
      </c>
      <c r="C24" s="75" t="s">
        <v>415</v>
      </c>
      <c r="D24" s="75" t="s">
        <v>305</v>
      </c>
    </row>
    <row r="25" spans="1:4" ht="49.5" customHeight="1">
      <c r="A25" s="46" t="s">
        <v>342</v>
      </c>
      <c r="B25" s="46" t="s">
        <v>247</v>
      </c>
      <c r="C25" s="75" t="s">
        <v>414</v>
      </c>
      <c r="D25" s="75" t="s">
        <v>248</v>
      </c>
    </row>
    <row r="26" spans="1:4" ht="49.5" customHeight="1">
      <c r="A26" s="46" t="s">
        <v>399</v>
      </c>
      <c r="B26" s="46" t="s">
        <v>337</v>
      </c>
      <c r="C26" s="75" t="s">
        <v>413</v>
      </c>
      <c r="D26" s="75" t="s">
        <v>338</v>
      </c>
    </row>
    <row r="27" spans="1:4" ht="49.5" customHeight="1">
      <c r="A27" s="46" t="s">
        <v>347</v>
      </c>
      <c r="B27" s="46" t="s">
        <v>260</v>
      </c>
      <c r="C27" s="75" t="s">
        <v>413</v>
      </c>
      <c r="D27" s="75" t="s">
        <v>261</v>
      </c>
    </row>
    <row r="28" spans="1:4" ht="49.5" customHeight="1">
      <c r="A28" s="46" t="s">
        <v>377</v>
      </c>
      <c r="B28" s="46" t="s">
        <v>307</v>
      </c>
      <c r="C28" s="75" t="s">
        <v>412</v>
      </c>
      <c r="D28" s="75" t="s">
        <v>308</v>
      </c>
    </row>
    <row r="29" spans="1:4" ht="49.5" customHeight="1">
      <c r="A29" s="46" t="s">
        <v>378</v>
      </c>
      <c r="B29" s="46" t="s">
        <v>309</v>
      </c>
      <c r="C29" s="75" t="s">
        <v>411</v>
      </c>
      <c r="D29" s="75" t="s">
        <v>282</v>
      </c>
    </row>
    <row r="30" spans="1:4" ht="49.5" customHeight="1">
      <c r="A30" s="46" t="s">
        <v>356</v>
      </c>
      <c r="B30" s="46" t="s">
        <v>281</v>
      </c>
      <c r="C30" s="75" t="s">
        <v>411</v>
      </c>
      <c r="D30" s="75" t="s">
        <v>282</v>
      </c>
    </row>
    <row r="31" spans="1:4" ht="49.5" customHeight="1">
      <c r="A31" s="46" t="s">
        <v>379</v>
      </c>
      <c r="B31" s="46" t="s">
        <v>309</v>
      </c>
      <c r="C31" s="75" t="s">
        <v>411</v>
      </c>
      <c r="D31" s="75" t="s">
        <v>310</v>
      </c>
    </row>
    <row r="32" spans="1:4" ht="49.5" customHeight="1">
      <c r="A32" s="46" t="s">
        <v>380</v>
      </c>
      <c r="B32" s="46" t="s">
        <v>309</v>
      </c>
      <c r="C32" s="75" t="s">
        <v>411</v>
      </c>
      <c r="D32" s="75" t="s">
        <v>311</v>
      </c>
    </row>
    <row r="33" spans="1:4" ht="49.5" customHeight="1">
      <c r="A33" s="46" t="s">
        <v>381</v>
      </c>
      <c r="B33" s="46" t="s">
        <v>312</v>
      </c>
      <c r="C33" s="75" t="s">
        <v>411</v>
      </c>
      <c r="D33" s="75" t="s">
        <v>313</v>
      </c>
    </row>
    <row r="34" spans="1:4" ht="49.5" customHeight="1">
      <c r="A34" s="46" t="s">
        <v>389</v>
      </c>
      <c r="B34" s="46" t="s">
        <v>333</v>
      </c>
      <c r="C34" s="75" t="s">
        <v>410</v>
      </c>
      <c r="D34" s="75" t="s">
        <v>334</v>
      </c>
    </row>
    <row r="35" spans="1:4" ht="49.5" customHeight="1">
      <c r="A35" s="46" t="s">
        <v>355</v>
      </c>
      <c r="B35" s="46" t="s">
        <v>268</v>
      </c>
      <c r="C35" s="75" t="s">
        <v>407</v>
      </c>
      <c r="D35" s="75" t="s">
        <v>280</v>
      </c>
    </row>
    <row r="36" spans="1:4" ht="49.5" customHeight="1">
      <c r="A36" s="46" t="s">
        <v>400</v>
      </c>
      <c r="B36" s="46" t="s">
        <v>268</v>
      </c>
      <c r="C36" s="75" t="s">
        <v>407</v>
      </c>
      <c r="D36" s="75" t="s">
        <v>272</v>
      </c>
    </row>
    <row r="37" spans="1:4" ht="49.5" customHeight="1">
      <c r="A37" s="46" t="s">
        <v>388</v>
      </c>
      <c r="B37" s="46" t="s">
        <v>330</v>
      </c>
      <c r="C37" s="75" t="s">
        <v>409</v>
      </c>
      <c r="D37" s="75" t="s">
        <v>331</v>
      </c>
    </row>
    <row r="38" spans="1:4" ht="49.5" customHeight="1">
      <c r="A38" s="46" t="s">
        <v>419</v>
      </c>
      <c r="B38" s="46" t="s">
        <v>283</v>
      </c>
      <c r="C38" s="75" t="s">
        <v>409</v>
      </c>
      <c r="D38" s="75" t="s">
        <v>284</v>
      </c>
    </row>
    <row r="39" spans="1:4" ht="49.5" customHeight="1">
      <c r="A39" s="46" t="s">
        <v>420</v>
      </c>
      <c r="B39" s="46" t="s">
        <v>326</v>
      </c>
      <c r="C39" s="75" t="s">
        <v>237</v>
      </c>
      <c r="D39" s="75" t="s">
        <v>327</v>
      </c>
    </row>
    <row r="40" spans="1:4" ht="49.5" customHeight="1">
      <c r="A40" s="46" t="s">
        <v>343</v>
      </c>
      <c r="B40" s="46" t="s">
        <v>249</v>
      </c>
      <c r="C40" s="75" t="s">
        <v>237</v>
      </c>
      <c r="D40" s="75" t="s">
        <v>250</v>
      </c>
    </row>
    <row r="41" spans="1:4" ht="49.5" customHeight="1">
      <c r="A41" s="46" t="s">
        <v>357</v>
      </c>
      <c r="B41" s="46" t="s">
        <v>285</v>
      </c>
      <c r="C41" s="75" t="s">
        <v>237</v>
      </c>
      <c r="D41" s="75" t="s">
        <v>250</v>
      </c>
    </row>
    <row r="42" spans="1:4" ht="49.5" customHeight="1">
      <c r="A42" s="46" t="s">
        <v>351</v>
      </c>
      <c r="B42" s="46" t="s">
        <v>275</v>
      </c>
      <c r="C42" s="75" t="s">
        <v>237</v>
      </c>
      <c r="D42" s="75" t="s">
        <v>276</v>
      </c>
    </row>
    <row r="43" spans="1:4" ht="49.5" customHeight="1">
      <c r="A43" s="46" t="s">
        <v>390</v>
      </c>
      <c r="B43" s="46" t="s">
        <v>335</v>
      </c>
      <c r="C43" s="75" t="s">
        <v>237</v>
      </c>
      <c r="D43" s="75" t="s">
        <v>336</v>
      </c>
    </row>
    <row r="44" spans="1:4" ht="49.5" customHeight="1">
      <c r="A44" s="46" t="s">
        <v>349</v>
      </c>
      <c r="B44" s="46" t="s">
        <v>264</v>
      </c>
      <c r="C44" s="75" t="s">
        <v>237</v>
      </c>
      <c r="D44" s="75" t="s">
        <v>265</v>
      </c>
    </row>
    <row r="45" spans="1:4" ht="49.5" customHeight="1">
      <c r="A45" s="46" t="s">
        <v>382</v>
      </c>
      <c r="B45" s="46" t="s">
        <v>314</v>
      </c>
      <c r="C45" s="75" t="s">
        <v>237</v>
      </c>
      <c r="D45" s="75" t="s">
        <v>315</v>
      </c>
    </row>
    <row r="46" spans="1:4" ht="49.5" customHeight="1">
      <c r="A46" s="46" t="s">
        <v>383</v>
      </c>
      <c r="B46" s="46" t="s">
        <v>316</v>
      </c>
      <c r="C46" s="75" t="s">
        <v>237</v>
      </c>
      <c r="D46" s="75" t="s">
        <v>317</v>
      </c>
    </row>
    <row r="47" spans="1:4" ht="49.5" customHeight="1">
      <c r="A47" s="46" t="s">
        <v>421</v>
      </c>
      <c r="B47" s="46" t="s">
        <v>251</v>
      </c>
      <c r="C47" s="75" t="s">
        <v>237</v>
      </c>
      <c r="D47" s="75" t="s">
        <v>252</v>
      </c>
    </row>
    <row r="48" spans="1:4" ht="49.5" customHeight="1">
      <c r="A48" s="46" t="s">
        <v>393</v>
      </c>
      <c r="B48" s="46" t="s">
        <v>339</v>
      </c>
      <c r="C48" s="75" t="s">
        <v>237</v>
      </c>
      <c r="D48" s="75" t="s">
        <v>274</v>
      </c>
    </row>
    <row r="49" spans="1:4" ht="49.5" customHeight="1">
      <c r="A49" s="46" t="s">
        <v>422</v>
      </c>
      <c r="B49" s="46" t="s">
        <v>332</v>
      </c>
      <c r="C49" s="75" t="s">
        <v>237</v>
      </c>
      <c r="D49" s="75" t="s">
        <v>274</v>
      </c>
    </row>
    <row r="50" spans="1:4" ht="49.5" customHeight="1">
      <c r="A50" s="46" t="s">
        <v>350</v>
      </c>
      <c r="B50" s="46" t="s">
        <v>273</v>
      </c>
      <c r="C50" s="75" t="s">
        <v>237</v>
      </c>
      <c r="D50" s="75" t="s">
        <v>274</v>
      </c>
    </row>
    <row r="51" spans="1:4" ht="49.5" customHeight="1">
      <c r="A51" s="46" t="s">
        <v>394</v>
      </c>
      <c r="B51" s="46" t="s">
        <v>273</v>
      </c>
      <c r="C51" s="75" t="s">
        <v>237</v>
      </c>
      <c r="D51" s="75" t="s">
        <v>274</v>
      </c>
    </row>
    <row r="52" spans="1:4" ht="49.5" customHeight="1">
      <c r="A52" s="46" t="s">
        <v>358</v>
      </c>
      <c r="B52" s="46" t="s">
        <v>286</v>
      </c>
      <c r="C52" s="75" t="s">
        <v>237</v>
      </c>
      <c r="D52" s="75" t="s">
        <v>287</v>
      </c>
    </row>
    <row r="53" spans="1:4" ht="49.5" customHeight="1">
      <c r="A53" s="46" t="s">
        <v>359</v>
      </c>
      <c r="B53" s="46" t="s">
        <v>288</v>
      </c>
      <c r="C53" s="75" t="s">
        <v>237</v>
      </c>
      <c r="D53" s="75" t="s">
        <v>289</v>
      </c>
    </row>
    <row r="54" spans="1:4" ht="49.5" customHeight="1">
      <c r="A54" s="46" t="s">
        <v>341</v>
      </c>
      <c r="B54" s="46" t="s">
        <v>244</v>
      </c>
      <c r="C54" s="75" t="s">
        <v>237</v>
      </c>
      <c r="D54" s="75" t="s">
        <v>246</v>
      </c>
    </row>
    <row r="55" spans="1:4" ht="49.5" customHeight="1">
      <c r="A55" s="46" t="s">
        <v>387</v>
      </c>
      <c r="B55" s="46" t="s">
        <v>328</v>
      </c>
      <c r="C55" s="75" t="s">
        <v>237</v>
      </c>
      <c r="D55" s="75" t="s">
        <v>329</v>
      </c>
    </row>
    <row r="56" spans="1:4" ht="49.5" customHeight="1">
      <c r="A56" s="46" t="s">
        <v>423</v>
      </c>
      <c r="B56" s="46" t="s">
        <v>324</v>
      </c>
      <c r="C56" s="75" t="s">
        <v>237</v>
      </c>
      <c r="D56" s="75" t="s">
        <v>325</v>
      </c>
    </row>
    <row r="57" spans="1:4" ht="49.5" customHeight="1">
      <c r="A57" s="46" t="s">
        <v>424</v>
      </c>
      <c r="B57" s="46" t="s">
        <v>253</v>
      </c>
      <c r="C57" s="75" t="s">
        <v>237</v>
      </c>
      <c r="D57" s="75" t="s">
        <v>254</v>
      </c>
    </row>
    <row r="58" spans="1:4" ht="49.5" customHeight="1">
      <c r="A58" s="46" t="s">
        <v>360</v>
      </c>
      <c r="B58" s="46" t="s">
        <v>290</v>
      </c>
      <c r="C58" s="75" t="s">
        <v>237</v>
      </c>
      <c r="D58" s="75" t="s">
        <v>291</v>
      </c>
    </row>
    <row r="59" spans="1:4" ht="49.5" customHeight="1">
      <c r="A59" s="46" t="s">
        <v>384</v>
      </c>
      <c r="B59" s="46" t="s">
        <v>318</v>
      </c>
      <c r="C59" s="75" t="s">
        <v>237</v>
      </c>
      <c r="D59" s="75" t="s">
        <v>319</v>
      </c>
    </row>
    <row r="60" spans="1:4" ht="49.5" customHeight="1">
      <c r="A60" s="46" t="s">
        <v>385</v>
      </c>
      <c r="B60" s="46" t="s">
        <v>320</v>
      </c>
      <c r="C60" s="75" t="s">
        <v>408</v>
      </c>
      <c r="D60" s="75" t="s">
        <v>321</v>
      </c>
    </row>
    <row r="61" spans="1:4" ht="49.5" customHeight="1">
      <c r="A61" s="46" t="s">
        <v>361</v>
      </c>
      <c r="B61" s="46" t="s">
        <v>292</v>
      </c>
      <c r="C61" s="75" t="s">
        <v>408</v>
      </c>
      <c r="D61" s="75" t="s">
        <v>293</v>
      </c>
    </row>
    <row r="62" spans="1:4" ht="49.5" customHeight="1">
      <c r="A62" s="46" t="s">
        <v>362</v>
      </c>
      <c r="B62" s="46" t="s">
        <v>294</v>
      </c>
      <c r="C62" s="75" t="s">
        <v>408</v>
      </c>
      <c r="D62" s="75" t="s">
        <v>295</v>
      </c>
    </row>
    <row r="63" spans="1:4" ht="49.5" customHeight="1">
      <c r="A63" s="46" t="s">
        <v>344</v>
      </c>
      <c r="B63" s="46" t="s">
        <v>255</v>
      </c>
      <c r="C63" s="75" t="s">
        <v>408</v>
      </c>
      <c r="D63" s="75" t="s">
        <v>256</v>
      </c>
    </row>
    <row r="64" spans="1:4" ht="49.5" customHeight="1">
      <c r="A64" s="46" t="s">
        <v>348</v>
      </c>
      <c r="B64" s="46" t="s">
        <v>262</v>
      </c>
      <c r="C64" s="75" t="s">
        <v>408</v>
      </c>
      <c r="D64" s="75" t="s">
        <v>263</v>
      </c>
    </row>
    <row r="65" spans="1:4" ht="49.5" customHeight="1">
      <c r="A65" s="46" t="s">
        <v>386</v>
      </c>
      <c r="B65" s="46" t="s">
        <v>322</v>
      </c>
      <c r="C65" s="75" t="s">
        <v>408</v>
      </c>
      <c r="D65" s="75" t="s">
        <v>323</v>
      </c>
    </row>
    <row r="66" spans="1:4" ht="49.5" customHeight="1">
      <c r="A66" s="46" t="s">
        <v>363</v>
      </c>
      <c r="B66" s="46" t="s">
        <v>296</v>
      </c>
      <c r="C66" s="75" t="s">
        <v>408</v>
      </c>
      <c r="D66" s="75" t="s">
        <v>297</v>
      </c>
    </row>
    <row r="67" spans="1:4" ht="49.5" customHeight="1">
      <c r="A67" s="46" t="s">
        <v>345</v>
      </c>
      <c r="B67" s="46" t="s">
        <v>255</v>
      </c>
      <c r="C67" s="75" t="s">
        <v>408</v>
      </c>
      <c r="D67" s="75" t="s">
        <v>257</v>
      </c>
    </row>
    <row r="68" spans="1:4" ht="49.5" customHeight="1">
      <c r="A68" s="46" t="s">
        <v>364</v>
      </c>
      <c r="B68" s="46" t="s">
        <v>298</v>
      </c>
      <c r="C68" s="75" t="s">
        <v>408</v>
      </c>
      <c r="D68" s="75" t="s">
        <v>299</v>
      </c>
    </row>
    <row r="69" spans="1:4" ht="49.5" customHeight="1">
      <c r="A69" s="46" t="s">
        <v>365</v>
      </c>
      <c r="B69" s="46" t="s">
        <v>300</v>
      </c>
      <c r="C69" s="75" t="s">
        <v>408</v>
      </c>
      <c r="D69" s="75" t="s">
        <v>301</v>
      </c>
    </row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  <row r="255" ht="49.5" customHeight="1"/>
    <row r="256" ht="49.5" customHeight="1"/>
    <row r="257" ht="49.5" customHeight="1"/>
    <row r="258" ht="49.5" customHeight="1"/>
    <row r="259" ht="49.5" customHeight="1"/>
    <row r="260" ht="49.5" customHeight="1"/>
    <row r="261" ht="49.5" customHeight="1"/>
    <row r="262" ht="49.5" customHeight="1"/>
    <row r="263" ht="49.5" customHeight="1"/>
    <row r="264" ht="49.5" customHeight="1"/>
    <row r="265" ht="49.5" customHeight="1"/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/>
    <row r="295" ht="49.5" customHeight="1"/>
    <row r="296" ht="49.5" customHeight="1"/>
    <row r="297" ht="49.5" customHeight="1"/>
    <row r="298" ht="49.5" customHeight="1"/>
    <row r="299" ht="49.5" customHeight="1"/>
    <row r="300" ht="49.5" customHeight="1"/>
    <row r="301" ht="49.5" customHeight="1"/>
    <row r="302" ht="49.5" customHeight="1"/>
    <row r="303" ht="49.5" customHeight="1"/>
    <row r="304" ht="49.5" customHeight="1"/>
    <row r="305" ht="49.5" customHeight="1"/>
    <row r="306" ht="49.5" customHeight="1"/>
    <row r="307" ht="49.5" customHeight="1"/>
    <row r="308" ht="49.5" customHeight="1"/>
    <row r="309" ht="49.5" customHeight="1"/>
    <row r="310" ht="49.5" customHeight="1"/>
    <row r="311" ht="49.5" customHeight="1"/>
    <row r="312" ht="49.5" customHeight="1"/>
    <row r="313" ht="49.5" customHeight="1"/>
    <row r="314" ht="49.5" customHeight="1"/>
    <row r="315" ht="49.5" customHeight="1"/>
    <row r="316" ht="49.5" customHeight="1"/>
    <row r="317" ht="49.5" customHeight="1"/>
    <row r="318" ht="49.5" customHeight="1"/>
    <row r="319" ht="49.5" customHeight="1"/>
    <row r="320" ht="49.5" customHeight="1"/>
    <row r="321" ht="49.5" customHeight="1"/>
    <row r="322" ht="49.5" customHeight="1"/>
    <row r="323" ht="49.5" customHeight="1"/>
    <row r="324" ht="49.5" customHeight="1"/>
    <row r="325" ht="49.5" customHeight="1"/>
    <row r="326" ht="49.5" customHeight="1"/>
    <row r="327" ht="49.5" customHeight="1"/>
    <row r="328" ht="49.5" customHeight="1"/>
    <row r="329" ht="49.5" customHeight="1"/>
    <row r="330" ht="49.5" customHeight="1"/>
    <row r="331" ht="49.5" customHeight="1"/>
    <row r="332" ht="49.5" customHeight="1"/>
    <row r="333" ht="49.5" customHeight="1"/>
    <row r="334" ht="49.5" customHeight="1"/>
    <row r="335" ht="49.5" customHeight="1"/>
    <row r="336" ht="49.5" customHeight="1"/>
    <row r="337" ht="49.5" customHeight="1"/>
    <row r="338" ht="49.5" customHeight="1"/>
    <row r="339" ht="49.5" customHeight="1"/>
    <row r="340" ht="49.5" customHeight="1"/>
    <row r="341" ht="49.5" customHeight="1"/>
    <row r="342" ht="49.5" customHeight="1"/>
    <row r="343" ht="49.5" customHeight="1"/>
    <row r="344" ht="49.5" customHeight="1"/>
    <row r="345" ht="49.5" customHeight="1"/>
    <row r="346" ht="49.5" customHeight="1"/>
  </sheetData>
  <sheetProtection/>
  <mergeCells count="1">
    <mergeCell ref="B1:D1"/>
  </mergeCells>
  <printOptions/>
  <pageMargins left="0.8267716535433072" right="0.2362204724409449" top="0.35433070866141736" bottom="0.35433070866141736" header="0.11811023622047245" footer="0.118110236220472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pane xSplit="1" topLeftCell="B1" activePane="topRight" state="frozen"/>
      <selection pane="topLeft" activeCell="A16" sqref="A16"/>
      <selection pane="topRight" activeCell="H13" sqref="H13"/>
    </sheetView>
  </sheetViews>
  <sheetFormatPr defaultColWidth="9.00390625" defaultRowHeight="13.5"/>
  <cols>
    <col min="1" max="1" width="10.625" style="1" bestFit="1" customWidth="1"/>
    <col min="2" max="7" width="9.125" style="1" bestFit="1" customWidth="1"/>
    <col min="8" max="8" width="9.125" style="1" customWidth="1"/>
    <col min="9" max="16384" width="9.00390625" style="1" customWidth="1"/>
  </cols>
  <sheetData>
    <row r="1" spans="1:13" ht="13.5">
      <c r="A1" s="24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27" customFormat="1" ht="13.5">
      <c r="A2" s="25" t="s">
        <v>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27" customFormat="1" ht="13.5">
      <c r="A3" s="25" t="s">
        <v>69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27" customFormat="1" ht="13.5">
      <c r="A4" s="34" t="s">
        <v>71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27" customFormat="1" ht="13.5">
      <c r="A5" s="34" t="s">
        <v>191</v>
      </c>
      <c r="B5" s="62"/>
      <c r="C5" s="62"/>
      <c r="D5" s="62"/>
      <c r="E5" s="63"/>
      <c r="F5" s="63"/>
      <c r="G5" s="63"/>
      <c r="H5" s="63"/>
      <c r="I5" s="64"/>
      <c r="J5" s="64"/>
      <c r="K5" s="64"/>
      <c r="L5" s="64"/>
      <c r="M5" s="33"/>
    </row>
    <row r="6" spans="1:13" s="27" customFormat="1" ht="13.5">
      <c r="A6" s="30" t="s">
        <v>53</v>
      </c>
      <c r="B6" s="60"/>
      <c r="C6" s="60"/>
      <c r="D6" s="61"/>
      <c r="E6" s="59"/>
      <c r="F6" s="59"/>
      <c r="G6" s="59"/>
      <c r="H6" s="59"/>
      <c r="I6" s="59"/>
      <c r="J6" s="59"/>
      <c r="K6" s="59"/>
      <c r="L6" s="59"/>
      <c r="M6" s="59"/>
    </row>
    <row r="7" s="27" customFormat="1" ht="13.5">
      <c r="A7" s="31">
        <f>814200-M4</f>
        <v>814200</v>
      </c>
    </row>
    <row r="8" s="27" customFormat="1" ht="13.5"/>
    <row r="9" s="17" customFormat="1" ht="13.5"/>
    <row r="10" s="17" customFormat="1" ht="13.5"/>
    <row r="11" s="17" customFormat="1" ht="13.5"/>
    <row r="12" spans="7:9" s="17" customFormat="1" ht="13.5">
      <c r="G12" s="17" t="s">
        <v>425</v>
      </c>
      <c r="I12" s="27"/>
    </row>
    <row r="13" spans="7:9" s="17" customFormat="1" ht="13.5">
      <c r="G13" s="17" t="s">
        <v>185</v>
      </c>
      <c r="H13" s="17">
        <f>A7-H12</f>
        <v>814200</v>
      </c>
      <c r="I13" s="27"/>
    </row>
    <row r="14" s="17" customFormat="1" ht="13.5">
      <c r="H14" s="27"/>
    </row>
    <row r="15" s="17" customFormat="1" ht="13.5">
      <c r="H15" s="27"/>
    </row>
    <row r="16" s="17" customFormat="1" ht="13.5">
      <c r="H16" s="27"/>
    </row>
    <row r="17" s="17" customFormat="1" ht="13.5">
      <c r="H17" s="27"/>
    </row>
    <row r="18" s="17" customFormat="1" ht="13.5">
      <c r="H18" s="27"/>
    </row>
    <row r="19" s="17" customFormat="1" ht="13.5">
      <c r="H19" s="27"/>
    </row>
    <row r="20" s="17" customFormat="1" ht="13.5">
      <c r="H20" s="27"/>
    </row>
    <row r="21" s="17" customFormat="1" ht="13.5">
      <c r="H21" s="27"/>
    </row>
    <row r="22" s="17" customFormat="1" ht="13.5">
      <c r="H22" s="27"/>
    </row>
    <row r="23" s="17" customFormat="1" ht="13.5">
      <c r="H23" s="27"/>
    </row>
    <row r="24" s="17" customFormat="1" ht="13.5">
      <c r="H24" s="1"/>
    </row>
    <row r="25" s="17" customFormat="1" ht="13.5">
      <c r="H25" s="1"/>
    </row>
    <row r="26" spans="2:8" s="27" customFormat="1" ht="13.5">
      <c r="B26" s="17"/>
      <c r="C26" s="17"/>
      <c r="D26" s="17"/>
      <c r="E26" s="17"/>
      <c r="F26" s="17"/>
      <c r="G26" s="17"/>
      <c r="H26" s="1"/>
    </row>
    <row r="27" s="27" customFormat="1" ht="13.5">
      <c r="H27" s="1"/>
    </row>
    <row r="28" s="27" customFormat="1" ht="13.5">
      <c r="H28" s="1"/>
    </row>
    <row r="29" s="27" customFormat="1" ht="13.5">
      <c r="H29" s="1"/>
    </row>
    <row r="30" s="27" customFormat="1" ht="13.5">
      <c r="H30" s="1"/>
    </row>
    <row r="31" s="27" customFormat="1" ht="13.5">
      <c r="H31" s="1"/>
    </row>
    <row r="32" s="27" customFormat="1" ht="13.5">
      <c r="H32" s="1"/>
    </row>
    <row r="33" spans="2:8" s="17" customFormat="1" ht="13.5">
      <c r="B33" s="27"/>
      <c r="C33" s="27"/>
      <c r="D33" s="27"/>
      <c r="E33" s="27"/>
      <c r="F33" s="27"/>
      <c r="G33" s="27"/>
      <c r="H33" s="1"/>
    </row>
    <row r="34" s="17" customFormat="1" ht="13.5">
      <c r="H34" s="1"/>
    </row>
    <row r="35" s="17" customFormat="1" ht="13.5">
      <c r="H35" s="1"/>
    </row>
    <row r="36" s="17" customFormat="1" ht="13.5">
      <c r="H36" s="1"/>
    </row>
    <row r="37" s="17" customFormat="1" ht="13.5">
      <c r="H37" s="1"/>
    </row>
    <row r="38" s="17" customFormat="1" ht="13.5">
      <c r="H38" s="1"/>
    </row>
    <row r="39" s="17" customFormat="1" ht="13.5">
      <c r="H39" s="1"/>
    </row>
    <row r="40" s="17" customFormat="1" ht="13.5">
      <c r="H40" s="1"/>
    </row>
    <row r="41" s="17" customFormat="1" ht="13.5">
      <c r="H41" s="1"/>
    </row>
    <row r="42" s="17" customFormat="1" ht="13.5">
      <c r="H42" s="1"/>
    </row>
    <row r="43" spans="2:8" s="27" customFormat="1" ht="13.5">
      <c r="B43" s="17"/>
      <c r="C43" s="17"/>
      <c r="D43" s="17"/>
      <c r="E43" s="17"/>
      <c r="F43" s="17"/>
      <c r="G43" s="17"/>
      <c r="H43" s="1"/>
    </row>
    <row r="44" s="27" customFormat="1" ht="13.5">
      <c r="H44" s="1"/>
    </row>
    <row r="45" s="27" customFormat="1" ht="13.5">
      <c r="H45" s="1"/>
    </row>
    <row r="46" s="27" customFormat="1" ht="13.5">
      <c r="H46" s="1"/>
    </row>
    <row r="47" s="27" customFormat="1" ht="13.5">
      <c r="H47" s="1"/>
    </row>
    <row r="48" s="27" customFormat="1" ht="13.5">
      <c r="H48" s="1"/>
    </row>
    <row r="49" s="27" customFormat="1" ht="13.5">
      <c r="H49" s="1"/>
    </row>
    <row r="50" s="27" customFormat="1" ht="13.5">
      <c r="H50" s="1"/>
    </row>
    <row r="51" s="27" customFormat="1" ht="13.5">
      <c r="H51" s="1"/>
    </row>
    <row r="52" s="27" customFormat="1" ht="13.5">
      <c r="H52" s="1"/>
    </row>
    <row r="53" s="27" customFormat="1" ht="13.5">
      <c r="H53" s="1"/>
    </row>
    <row r="54" s="27" customFormat="1" ht="13.5">
      <c r="I54" s="1"/>
    </row>
    <row r="55" s="27" customFormat="1" ht="13.5">
      <c r="I55" s="1"/>
    </row>
    <row r="56" s="27" customFormat="1" ht="13.5">
      <c r="I56" s="1"/>
    </row>
    <row r="57" s="27" customFormat="1" ht="13.5">
      <c r="I57" s="1"/>
    </row>
    <row r="58" s="27" customFormat="1" ht="13.5">
      <c r="I58" s="1"/>
    </row>
    <row r="59" s="27" customFormat="1" ht="13.5">
      <c r="I59" s="1"/>
    </row>
    <row r="60" s="27" customFormat="1" ht="13.5">
      <c r="I60" s="1"/>
    </row>
    <row r="61" s="27" customFormat="1" ht="13.5">
      <c r="I61" s="1"/>
    </row>
    <row r="62" s="27" customFormat="1" ht="13.5">
      <c r="I62" s="1"/>
    </row>
    <row r="63" s="27" customFormat="1" ht="13.5">
      <c r="I63" s="1"/>
    </row>
    <row r="64" spans="2:8" ht="13.5">
      <c r="B64" s="27"/>
      <c r="C64" s="27"/>
      <c r="D64" s="27"/>
      <c r="E64" s="27"/>
      <c r="F64" s="27"/>
      <c r="G64" s="27"/>
      <c r="H64" s="27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/>
  <headerFooter alignWithMargins="0">
    <oddFooter>&amp;L福島小学校&amp;C&amp;P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22">
      <selection activeCell="D39" sqref="D39"/>
    </sheetView>
  </sheetViews>
  <sheetFormatPr defaultColWidth="9.00390625" defaultRowHeight="13.5"/>
  <cols>
    <col min="1" max="1" width="28.375" style="1" bestFit="1" customWidth="1"/>
    <col min="2" max="2" width="21.625" style="1" bestFit="1" customWidth="1"/>
    <col min="3" max="3" width="22.50390625" style="32" bestFit="1" customWidth="1"/>
    <col min="4" max="4" width="22.125" style="1" bestFit="1" customWidth="1"/>
    <col min="5" max="16384" width="9.00390625" style="1" customWidth="1"/>
  </cols>
  <sheetData>
    <row r="1" spans="1:4" ht="13.5">
      <c r="A1" s="5" t="s">
        <v>38</v>
      </c>
      <c r="B1" s="5" t="s">
        <v>2</v>
      </c>
      <c r="C1" s="5" t="s">
        <v>0</v>
      </c>
      <c r="D1" s="5" t="s">
        <v>94</v>
      </c>
    </row>
    <row r="2" spans="1:4" ht="18.75" customHeight="1">
      <c r="A2" s="2" t="s">
        <v>25</v>
      </c>
      <c r="B2" s="2" t="s">
        <v>24</v>
      </c>
      <c r="C2" s="18" t="s">
        <v>88</v>
      </c>
      <c r="D2" s="2" t="s">
        <v>51</v>
      </c>
    </row>
    <row r="3" spans="1:4" ht="18.75" customHeight="1">
      <c r="A3" s="2" t="s">
        <v>23</v>
      </c>
      <c r="B3" s="2" t="s">
        <v>24</v>
      </c>
      <c r="C3" s="18" t="s">
        <v>103</v>
      </c>
      <c r="D3" s="2" t="s">
        <v>51</v>
      </c>
    </row>
    <row r="4" spans="1:4" ht="18.75" customHeight="1">
      <c r="A4" s="2" t="s">
        <v>79</v>
      </c>
      <c r="B4" s="2" t="s">
        <v>86</v>
      </c>
      <c r="C4" s="18" t="s">
        <v>100</v>
      </c>
      <c r="D4" s="2" t="s">
        <v>80</v>
      </c>
    </row>
    <row r="5" spans="1:4" ht="18.75" customHeight="1">
      <c r="A5" s="2" t="s">
        <v>33</v>
      </c>
      <c r="B5" s="2" t="s">
        <v>30</v>
      </c>
      <c r="C5" s="18" t="s">
        <v>101</v>
      </c>
      <c r="D5" s="2" t="s">
        <v>32</v>
      </c>
    </row>
    <row r="6" spans="1:4" ht="18.75" customHeight="1">
      <c r="A6" s="2" t="s">
        <v>73</v>
      </c>
      <c r="B6" s="2" t="s">
        <v>92</v>
      </c>
      <c r="C6" s="18">
        <v>4</v>
      </c>
      <c r="D6" s="2" t="s">
        <v>96</v>
      </c>
    </row>
    <row r="7" spans="1:4" ht="18.75" customHeight="1">
      <c r="A7" s="2" t="s">
        <v>65</v>
      </c>
      <c r="B7" s="2" t="s">
        <v>64</v>
      </c>
      <c r="C7" s="18" t="s">
        <v>104</v>
      </c>
      <c r="D7" s="2" t="s">
        <v>51</v>
      </c>
    </row>
    <row r="8" spans="1:4" ht="18.75" customHeight="1">
      <c r="A8" s="2" t="s">
        <v>111</v>
      </c>
      <c r="B8" s="2" t="s">
        <v>112</v>
      </c>
      <c r="C8" s="18">
        <v>10</v>
      </c>
      <c r="D8" s="2" t="s">
        <v>61</v>
      </c>
    </row>
    <row r="9" spans="1:4" ht="18.75" customHeight="1">
      <c r="A9" s="2" t="s">
        <v>11</v>
      </c>
      <c r="B9" s="2" t="s">
        <v>12</v>
      </c>
      <c r="C9" s="18">
        <v>3</v>
      </c>
      <c r="D9" s="2" t="s">
        <v>51</v>
      </c>
    </row>
    <row r="10" spans="1:4" ht="18.75" customHeight="1">
      <c r="A10" s="2" t="s">
        <v>113</v>
      </c>
      <c r="B10" s="2" t="s">
        <v>56</v>
      </c>
      <c r="C10" s="18" t="s">
        <v>105</v>
      </c>
      <c r="D10" s="2" t="s">
        <v>51</v>
      </c>
    </row>
    <row r="11" spans="1:4" ht="18.75" customHeight="1">
      <c r="A11" s="2" t="s">
        <v>107</v>
      </c>
      <c r="B11" s="2" t="s">
        <v>114</v>
      </c>
      <c r="C11" s="18">
        <v>7</v>
      </c>
      <c r="D11" s="2" t="s">
        <v>97</v>
      </c>
    </row>
    <row r="12" spans="1:4" ht="18.75" customHeight="1">
      <c r="A12" s="2" t="s">
        <v>8</v>
      </c>
      <c r="B12" s="2"/>
      <c r="C12" s="18">
        <v>2012</v>
      </c>
      <c r="D12" s="2" t="s">
        <v>115</v>
      </c>
    </row>
    <row r="13" spans="1:4" ht="18.75" customHeight="1">
      <c r="A13" s="2" t="s">
        <v>116</v>
      </c>
      <c r="B13" s="2" t="s">
        <v>117</v>
      </c>
      <c r="C13" s="18" t="s">
        <v>118</v>
      </c>
      <c r="D13" s="2" t="s">
        <v>58</v>
      </c>
    </row>
    <row r="14" spans="1:4" ht="18.75" customHeight="1">
      <c r="A14" s="2" t="s">
        <v>29</v>
      </c>
      <c r="B14" s="2" t="s">
        <v>119</v>
      </c>
      <c r="C14" s="18" t="s">
        <v>120</v>
      </c>
      <c r="D14" s="2" t="s">
        <v>51</v>
      </c>
    </row>
    <row r="15" spans="1:4" ht="18.75" customHeight="1">
      <c r="A15" s="2" t="s">
        <v>109</v>
      </c>
      <c r="B15" s="2" t="s">
        <v>121</v>
      </c>
      <c r="C15" s="18">
        <v>2</v>
      </c>
      <c r="D15" s="2" t="s">
        <v>99</v>
      </c>
    </row>
    <row r="16" spans="1:4" ht="18.75" customHeight="1">
      <c r="A16" s="2" t="s">
        <v>14</v>
      </c>
      <c r="B16" s="2" t="s">
        <v>15</v>
      </c>
      <c r="C16" s="18" t="s">
        <v>122</v>
      </c>
      <c r="D16" s="2" t="s">
        <v>80</v>
      </c>
    </row>
    <row r="17" spans="1:4" ht="18.75" customHeight="1">
      <c r="A17" s="2" t="s">
        <v>123</v>
      </c>
      <c r="B17" s="2"/>
      <c r="C17" s="18">
        <v>32</v>
      </c>
      <c r="D17" s="2" t="s">
        <v>51</v>
      </c>
    </row>
    <row r="18" spans="1:4" ht="18.75" customHeight="1">
      <c r="A18" s="2" t="s">
        <v>124</v>
      </c>
      <c r="B18" s="2" t="s">
        <v>125</v>
      </c>
      <c r="C18" s="18">
        <v>11</v>
      </c>
      <c r="D18" s="2" t="s">
        <v>126</v>
      </c>
    </row>
    <row r="19" spans="1:4" ht="18.75" customHeight="1">
      <c r="A19" s="2" t="s">
        <v>6</v>
      </c>
      <c r="B19" s="2" t="s">
        <v>57</v>
      </c>
      <c r="C19" s="18">
        <v>10</v>
      </c>
      <c r="D19" s="2" t="s">
        <v>60</v>
      </c>
    </row>
    <row r="20" spans="1:4" ht="18.75" customHeight="1">
      <c r="A20" s="2" t="s">
        <v>127</v>
      </c>
      <c r="B20" s="2" t="s">
        <v>128</v>
      </c>
      <c r="C20" s="18" t="s">
        <v>129</v>
      </c>
      <c r="D20" s="2" t="s">
        <v>93</v>
      </c>
    </row>
    <row r="21" spans="1:4" ht="18.75" customHeight="1">
      <c r="A21" s="2" t="s">
        <v>130</v>
      </c>
      <c r="B21" s="2" t="s">
        <v>9</v>
      </c>
      <c r="C21" s="18" t="s">
        <v>62</v>
      </c>
      <c r="D21" s="2" t="s">
        <v>52</v>
      </c>
    </row>
    <row r="22" spans="1:4" ht="18.75" customHeight="1">
      <c r="A22" s="2" t="s">
        <v>26</v>
      </c>
      <c r="B22" s="2" t="s">
        <v>27</v>
      </c>
      <c r="C22" s="18">
        <v>7</v>
      </c>
      <c r="D22" s="2" t="s">
        <v>80</v>
      </c>
    </row>
    <row r="23" spans="1:4" ht="18.75" customHeight="1">
      <c r="A23" s="2" t="s">
        <v>16</v>
      </c>
      <c r="B23" s="2" t="s">
        <v>17</v>
      </c>
      <c r="C23" s="18" t="s">
        <v>131</v>
      </c>
      <c r="D23" s="2" t="s">
        <v>50</v>
      </c>
    </row>
    <row r="24" spans="1:4" ht="18.75" customHeight="1">
      <c r="A24" s="2" t="s">
        <v>132</v>
      </c>
      <c r="B24" s="2" t="s">
        <v>133</v>
      </c>
      <c r="C24" s="18" t="s">
        <v>134</v>
      </c>
      <c r="D24" s="2" t="s">
        <v>54</v>
      </c>
    </row>
    <row r="25" spans="1:4" ht="18.75" customHeight="1">
      <c r="A25" s="2" t="s">
        <v>135</v>
      </c>
      <c r="B25" s="2" t="s">
        <v>136</v>
      </c>
      <c r="C25" s="18">
        <v>4</v>
      </c>
      <c r="D25" s="2" t="s">
        <v>54</v>
      </c>
    </row>
    <row r="26" spans="1:4" ht="18.75" customHeight="1">
      <c r="A26" s="2" t="s">
        <v>63</v>
      </c>
      <c r="B26" s="2" t="s">
        <v>137</v>
      </c>
      <c r="C26" s="18">
        <v>4</v>
      </c>
      <c r="D26" s="2" t="s">
        <v>51</v>
      </c>
    </row>
    <row r="27" spans="1:4" ht="18.75" customHeight="1">
      <c r="A27" s="2" t="s">
        <v>66</v>
      </c>
      <c r="B27" s="2" t="s">
        <v>138</v>
      </c>
      <c r="C27" s="18">
        <v>6</v>
      </c>
      <c r="D27" s="2" t="s">
        <v>50</v>
      </c>
    </row>
    <row r="28" spans="1:4" ht="18.75" customHeight="1">
      <c r="A28" s="2" t="s">
        <v>139</v>
      </c>
      <c r="B28" s="2" t="s">
        <v>140</v>
      </c>
      <c r="C28" s="18">
        <v>8</v>
      </c>
      <c r="D28" s="2" t="s">
        <v>54</v>
      </c>
    </row>
    <row r="29" spans="1:4" ht="18.75" customHeight="1">
      <c r="A29" s="2" t="s">
        <v>77</v>
      </c>
      <c r="B29" s="2" t="s">
        <v>141</v>
      </c>
      <c r="C29" s="18">
        <v>7</v>
      </c>
      <c r="D29" s="2" t="s">
        <v>142</v>
      </c>
    </row>
    <row r="30" spans="1:4" ht="18.75" customHeight="1">
      <c r="A30" s="2" t="s">
        <v>7</v>
      </c>
      <c r="B30" s="2" t="s">
        <v>143</v>
      </c>
      <c r="C30" s="18">
        <v>10</v>
      </c>
      <c r="D30" s="2" t="s">
        <v>81</v>
      </c>
    </row>
    <row r="31" spans="1:4" ht="18.75" customHeight="1">
      <c r="A31" s="2" t="s">
        <v>95</v>
      </c>
      <c r="B31" s="2" t="s">
        <v>9</v>
      </c>
      <c r="C31" s="18" t="s">
        <v>144</v>
      </c>
      <c r="D31" s="2" t="s">
        <v>51</v>
      </c>
    </row>
    <row r="32" spans="1:4" ht="18.75" customHeight="1">
      <c r="A32" s="2" t="s">
        <v>20</v>
      </c>
      <c r="B32" s="2" t="s">
        <v>21</v>
      </c>
      <c r="C32" s="18" t="s">
        <v>145</v>
      </c>
      <c r="D32" s="2" t="s">
        <v>31</v>
      </c>
    </row>
    <row r="33" spans="1:4" ht="18.75" customHeight="1">
      <c r="A33" s="2" t="s">
        <v>110</v>
      </c>
      <c r="B33" s="2" t="s">
        <v>21</v>
      </c>
      <c r="C33" s="18" t="s">
        <v>146</v>
      </c>
      <c r="D33" s="2" t="s">
        <v>31</v>
      </c>
    </row>
    <row r="34" spans="1:4" ht="18.75" customHeight="1">
      <c r="A34" s="2" t="s">
        <v>19</v>
      </c>
      <c r="B34" s="2" t="s">
        <v>57</v>
      </c>
      <c r="C34" s="18" t="s">
        <v>147</v>
      </c>
      <c r="D34" s="2" t="s">
        <v>52</v>
      </c>
    </row>
    <row r="35" spans="1:4" ht="18.75" customHeight="1">
      <c r="A35" s="2" t="s">
        <v>28</v>
      </c>
      <c r="B35" s="2" t="s">
        <v>148</v>
      </c>
      <c r="C35" s="18">
        <v>18</v>
      </c>
      <c r="D35" s="2" t="s">
        <v>61</v>
      </c>
    </row>
    <row r="36" spans="1:4" ht="18.75" customHeight="1">
      <c r="A36" s="2" t="s">
        <v>149</v>
      </c>
      <c r="B36" s="2" t="s">
        <v>3</v>
      </c>
      <c r="C36" s="18">
        <v>26</v>
      </c>
      <c r="D36" s="2" t="s">
        <v>80</v>
      </c>
    </row>
    <row r="37" spans="1:4" ht="18.75" customHeight="1">
      <c r="A37" s="2" t="s">
        <v>150</v>
      </c>
      <c r="B37" s="2" t="s">
        <v>151</v>
      </c>
      <c r="C37" s="18" t="s">
        <v>152</v>
      </c>
      <c r="D37" s="2"/>
    </row>
    <row r="38" spans="1:4" ht="18.75" customHeight="1">
      <c r="A38" s="2" t="s">
        <v>68</v>
      </c>
      <c r="B38" s="2" t="s">
        <v>72</v>
      </c>
      <c r="C38" s="18">
        <v>5</v>
      </c>
      <c r="D38" s="2" t="s">
        <v>67</v>
      </c>
    </row>
    <row r="39" spans="1:4" ht="18.75" customHeight="1">
      <c r="A39" s="2" t="s">
        <v>153</v>
      </c>
      <c r="B39" s="2" t="s">
        <v>22</v>
      </c>
      <c r="C39" s="18" t="s">
        <v>154</v>
      </c>
      <c r="D39" s="2" t="s">
        <v>60</v>
      </c>
    </row>
    <row r="40" spans="1:4" ht="18.75" customHeight="1">
      <c r="A40" s="2" t="s">
        <v>155</v>
      </c>
      <c r="B40" s="2" t="s">
        <v>156</v>
      </c>
      <c r="C40" s="18">
        <v>8</v>
      </c>
      <c r="D40" s="2" t="s">
        <v>90</v>
      </c>
    </row>
    <row r="41" spans="1:4" ht="18.75" customHeight="1">
      <c r="A41" s="2" t="s">
        <v>13</v>
      </c>
      <c r="B41" s="2" t="s">
        <v>157</v>
      </c>
      <c r="C41" s="18" t="s">
        <v>158</v>
      </c>
      <c r="D41" s="2" t="s">
        <v>51</v>
      </c>
    </row>
    <row r="42" spans="1:4" ht="18.75" customHeight="1">
      <c r="A42" s="2" t="s">
        <v>159</v>
      </c>
      <c r="B42" s="2" t="s">
        <v>17</v>
      </c>
      <c r="C42" s="18">
        <v>1</v>
      </c>
      <c r="D42" s="2" t="s">
        <v>55</v>
      </c>
    </row>
    <row r="43" spans="1:4" ht="18.75" customHeight="1">
      <c r="A43" s="2" t="s">
        <v>160</v>
      </c>
      <c r="B43" s="2" t="s">
        <v>161</v>
      </c>
      <c r="C43" s="18" t="s">
        <v>162</v>
      </c>
      <c r="D43" s="2" t="s">
        <v>51</v>
      </c>
    </row>
    <row r="44" spans="1:4" ht="18.75" customHeight="1">
      <c r="A44" s="2" t="s">
        <v>163</v>
      </c>
      <c r="B44" s="2" t="s">
        <v>108</v>
      </c>
      <c r="C44" s="18" t="s">
        <v>76</v>
      </c>
      <c r="D44" s="2" t="s">
        <v>97</v>
      </c>
    </row>
    <row r="45" spans="1:4" ht="18.75" customHeight="1">
      <c r="A45" s="2" t="s">
        <v>164</v>
      </c>
      <c r="B45" s="2" t="s">
        <v>34</v>
      </c>
      <c r="C45" s="18" t="s">
        <v>165</v>
      </c>
      <c r="D45" s="2" t="s">
        <v>83</v>
      </c>
    </row>
    <row r="46" spans="1:4" ht="18.75" customHeight="1">
      <c r="A46" s="2" t="s">
        <v>166</v>
      </c>
      <c r="B46" s="2" t="s">
        <v>167</v>
      </c>
      <c r="C46" s="18" t="s">
        <v>87</v>
      </c>
      <c r="D46" s="2" t="s">
        <v>168</v>
      </c>
    </row>
    <row r="47" spans="1:4" ht="18.75" customHeight="1">
      <c r="A47" s="2" t="s">
        <v>74</v>
      </c>
      <c r="B47" s="2" t="s">
        <v>169</v>
      </c>
      <c r="C47" s="18" t="s">
        <v>106</v>
      </c>
      <c r="D47" s="2" t="s">
        <v>37</v>
      </c>
    </row>
    <row r="48" spans="1:4" ht="18.75" customHeight="1">
      <c r="A48" s="2" t="s">
        <v>18</v>
      </c>
      <c r="B48" s="2" t="s">
        <v>91</v>
      </c>
      <c r="C48" s="18" t="s">
        <v>102</v>
      </c>
      <c r="D48" s="2" t="s">
        <v>59</v>
      </c>
    </row>
    <row r="49" spans="1:4" ht="18.75" customHeight="1">
      <c r="A49" s="2" t="s">
        <v>170</v>
      </c>
      <c r="B49" s="2" t="s">
        <v>75</v>
      </c>
      <c r="C49" s="18">
        <v>4</v>
      </c>
      <c r="D49" s="2" t="s">
        <v>85</v>
      </c>
    </row>
    <row r="50" spans="1:4" ht="18.75" customHeight="1">
      <c r="A50" s="2" t="s">
        <v>82</v>
      </c>
      <c r="B50" s="2" t="s">
        <v>17</v>
      </c>
      <c r="C50" s="18" t="s">
        <v>171</v>
      </c>
      <c r="D50" s="2" t="s">
        <v>52</v>
      </c>
    </row>
    <row r="51" spans="1:4" ht="18.75" customHeight="1">
      <c r="A51" s="2" t="s">
        <v>1</v>
      </c>
      <c r="B51" s="2" t="s">
        <v>172</v>
      </c>
      <c r="C51" s="18">
        <v>21</v>
      </c>
      <c r="D51" s="2" t="s">
        <v>51</v>
      </c>
    </row>
    <row r="52" spans="1:4" ht="18.75" customHeight="1">
      <c r="A52" s="2" t="s">
        <v>10</v>
      </c>
      <c r="B52" s="2" t="s">
        <v>35</v>
      </c>
      <c r="C52" s="18" t="s">
        <v>89</v>
      </c>
      <c r="D52" s="2" t="s">
        <v>36</v>
      </c>
    </row>
    <row r="53" spans="1:4" ht="18.75" customHeight="1">
      <c r="A53" s="2" t="s">
        <v>173</v>
      </c>
      <c r="B53" s="2" t="s">
        <v>174</v>
      </c>
      <c r="C53" s="18">
        <v>3</v>
      </c>
      <c r="D53" s="2" t="s">
        <v>50</v>
      </c>
    </row>
    <row r="54" spans="1:4" ht="18.75" customHeight="1">
      <c r="A54" s="2" t="s">
        <v>4</v>
      </c>
      <c r="B54" s="2" t="s">
        <v>5</v>
      </c>
      <c r="C54" s="18">
        <v>17</v>
      </c>
      <c r="D54" s="2" t="s">
        <v>80</v>
      </c>
    </row>
    <row r="55" spans="1:4" ht="18.75" customHeight="1">
      <c r="A55" s="2" t="s">
        <v>175</v>
      </c>
      <c r="B55" s="2" t="s">
        <v>176</v>
      </c>
      <c r="C55" s="18">
        <v>2</v>
      </c>
      <c r="D55" s="2" t="s">
        <v>97</v>
      </c>
    </row>
    <row r="56" spans="1:4" ht="13.5">
      <c r="A56" s="2"/>
      <c r="B56" s="2"/>
      <c r="C56" s="18"/>
      <c r="D56" s="2"/>
    </row>
    <row r="57" spans="1:4" ht="13.5">
      <c r="A57" s="2"/>
      <c r="B57" s="2"/>
      <c r="C57" s="18"/>
      <c r="D57" s="2"/>
    </row>
    <row r="58" spans="1:4" ht="13.5">
      <c r="A58" s="2"/>
      <c r="B58" s="2"/>
      <c r="C58" s="18"/>
      <c r="D58" s="2"/>
    </row>
  </sheetData>
  <sheetProtection/>
  <printOptions/>
  <pageMargins left="0.5118110236220472" right="0.5118110236220472" top="0.7480314960629921" bottom="0.7480314960629921" header="0.31496062992125984" footer="0.31496062992125984"/>
  <pageSetup fitToHeight="2" fitToWidth="1"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Microsoft Office ユーザー</cp:lastModifiedBy>
  <cp:lastPrinted>2016-03-04T00:52:38Z</cp:lastPrinted>
  <dcterms:created xsi:type="dcterms:W3CDTF">2006-04-28T00:06:12Z</dcterms:created>
  <dcterms:modified xsi:type="dcterms:W3CDTF">2017-05-22T10:58:25Z</dcterms:modified>
  <cp:category/>
  <cp:version/>
  <cp:contentType/>
  <cp:contentStatus/>
</cp:coreProperties>
</file>